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ink/ink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ROBERT\OneDrive\Dokumentumok\Nicepage-MUNKA\Lakasfelujitasunk.hu\lakasfelujitas-pest.hu\EXCELEK\"/>
    </mc:Choice>
  </mc:AlternateContent>
  <xr:revisionPtr revIDLastSave="4" documentId="8_{57A8D75A-B03C-4B16-BCB5-0F35BA1590E9}" xr6:coauthVersionLast="36" xr6:coauthVersionMax="36" xr10:uidLastSave="{69DD26D7-D633-44A5-BEDA-ADB64D730AE6}"/>
  <bookViews>
    <workbookView xWindow="0" yWindow="0" windowWidth="14340" windowHeight="4310" tabRatio="614" xr2:uid="{00000000-000D-0000-FFFF-FFFF00000000}"/>
  </bookViews>
  <sheets>
    <sheet name="Összesítés" sheetId="1" r:id="rId1"/>
    <sheet name="Díj" sheetId="2" r:id="rId2"/>
    <sheet name="Anyag" sheetId="3" r:id="rId3"/>
  </sheets>
  <definedNames>
    <definedName name="_xlnm.Print_Area" localSheetId="2">Anyag!$A$1:$F$212</definedName>
    <definedName name="_xlnm.Print_Area" localSheetId="1">Díj!$A$1:$H$191</definedName>
    <definedName name="_xlnm.Print_Area" localSheetId="0">Összesítés!$A$3:$G$32</definedName>
  </definedNames>
  <calcPr calcId="191029"/>
</workbook>
</file>

<file path=xl/calcChain.xml><?xml version="1.0" encoding="utf-8"?>
<calcChain xmlns="http://schemas.openxmlformats.org/spreadsheetml/2006/main">
  <c r="B27" i="1" l="1"/>
  <c r="G137" i="2" l="1"/>
  <c r="G136" i="2"/>
  <c r="E93" i="3" l="1"/>
  <c r="G167" i="2" l="1"/>
  <c r="H167" i="2" s="1"/>
  <c r="H166" i="2" s="1"/>
  <c r="C18" i="1" s="1"/>
  <c r="H170" i="2"/>
  <c r="H171" i="2"/>
  <c r="G172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45" i="2"/>
  <c r="E145" i="2"/>
  <c r="I145" i="2"/>
  <c r="F145" i="2"/>
  <c r="H144" i="2"/>
  <c r="E144" i="2"/>
  <c r="F144" i="2" s="1"/>
  <c r="F202" i="3"/>
  <c r="F197" i="3"/>
  <c r="F198" i="3"/>
  <c r="F199" i="3"/>
  <c r="F200" i="3"/>
  <c r="F201" i="3"/>
  <c r="H142" i="2"/>
  <c r="E142" i="2"/>
  <c r="F142" i="2" s="1"/>
  <c r="H143" i="2"/>
  <c r="E143" i="2"/>
  <c r="F143" i="2" s="1"/>
  <c r="I144" i="2"/>
  <c r="C81" i="2"/>
  <c r="G82" i="2" s="1"/>
  <c r="H82" i="2" s="1"/>
  <c r="C98" i="2"/>
  <c r="G98" i="2" s="1"/>
  <c r="G102" i="2" s="1"/>
  <c r="H102" i="2" s="1"/>
  <c r="G97" i="2"/>
  <c r="H97" i="2" s="1"/>
  <c r="G159" i="2"/>
  <c r="G160" i="2" s="1"/>
  <c r="H160" i="2" s="1"/>
  <c r="E70" i="3"/>
  <c r="E71" i="3"/>
  <c r="F71" i="3" s="1"/>
  <c r="E68" i="3" s="1"/>
  <c r="E9" i="1" s="1"/>
  <c r="H103" i="2"/>
  <c r="H113" i="2"/>
  <c r="G114" i="2"/>
  <c r="H114" i="2" s="1"/>
  <c r="H115" i="2"/>
  <c r="G116" i="2"/>
  <c r="H116" i="2"/>
  <c r="H117" i="2"/>
  <c r="G118" i="2"/>
  <c r="H118" i="2"/>
  <c r="H119" i="2"/>
  <c r="G120" i="2"/>
  <c r="H120" i="2" s="1"/>
  <c r="F35" i="3"/>
  <c r="E51" i="3"/>
  <c r="H84" i="2"/>
  <c r="H83" i="2"/>
  <c r="F70" i="3"/>
  <c r="F72" i="3"/>
  <c r="F73" i="3"/>
  <c r="F76" i="3"/>
  <c r="F36" i="3"/>
  <c r="H139" i="2"/>
  <c r="H140" i="2"/>
  <c r="H141" i="2"/>
  <c r="H136" i="2"/>
  <c r="H137" i="2"/>
  <c r="H76" i="2"/>
  <c r="G77" i="2"/>
  <c r="H77" i="2"/>
  <c r="G78" i="2"/>
  <c r="H78" i="2" s="1"/>
  <c r="H79" i="2"/>
  <c r="C80" i="2"/>
  <c r="G80" i="2"/>
  <c r="H80" i="2" s="1"/>
  <c r="G81" i="2"/>
  <c r="H81" i="2"/>
  <c r="H188" i="2"/>
  <c r="E188" i="2"/>
  <c r="F188" i="2"/>
  <c r="H30" i="2"/>
  <c r="G187" i="2"/>
  <c r="G10" i="2"/>
  <c r="H10" i="2" s="1"/>
  <c r="G11" i="2"/>
  <c r="H11" i="2" s="1"/>
  <c r="G12" i="2"/>
  <c r="H12" i="2"/>
  <c r="G13" i="2"/>
  <c r="H13" i="2"/>
  <c r="H14" i="2"/>
  <c r="C15" i="2"/>
  <c r="J93" i="3" s="1"/>
  <c r="L93" i="3" s="1"/>
  <c r="M93" i="3" s="1"/>
  <c r="N93" i="3" s="1"/>
  <c r="G16" i="2"/>
  <c r="H16" i="2" s="1"/>
  <c r="H17" i="2"/>
  <c r="G18" i="2"/>
  <c r="H18" i="2"/>
  <c r="H21" i="2"/>
  <c r="C6" i="1" s="1"/>
  <c r="E14" i="3"/>
  <c r="E6" i="1" s="1"/>
  <c r="G43" i="2"/>
  <c r="H43" i="2"/>
  <c r="G44" i="2"/>
  <c r="H44" i="2"/>
  <c r="H45" i="2"/>
  <c r="G46" i="2"/>
  <c r="H46" i="2" s="1"/>
  <c r="H47" i="2"/>
  <c r="G48" i="2"/>
  <c r="H48" i="2"/>
  <c r="G50" i="2"/>
  <c r="H50" i="2"/>
  <c r="H61" i="2"/>
  <c r="C10" i="1" s="1"/>
  <c r="E78" i="3"/>
  <c r="E10" i="1" s="1"/>
  <c r="H132" i="2"/>
  <c r="H127" i="2"/>
  <c r="C13" i="1" s="1"/>
  <c r="G149" i="2"/>
  <c r="H149" i="2"/>
  <c r="H147" i="2" s="1"/>
  <c r="C15" i="1" s="1"/>
  <c r="H154" i="2"/>
  <c r="H155" i="2"/>
  <c r="H151" i="2"/>
  <c r="C16" i="1" s="1"/>
  <c r="H162" i="2"/>
  <c r="H187" i="2"/>
  <c r="G193" i="2"/>
  <c r="G194" i="2"/>
  <c r="E225" i="3"/>
  <c r="F225" i="3" s="1"/>
  <c r="E213" i="3"/>
  <c r="F213" i="3"/>
  <c r="F214" i="3"/>
  <c r="F216" i="3"/>
  <c r="F224" i="3"/>
  <c r="H194" i="2"/>
  <c r="D9" i="3"/>
  <c r="F9" i="3"/>
  <c r="D10" i="3"/>
  <c r="F10" i="3"/>
  <c r="D11" i="3"/>
  <c r="A8" i="3" s="1"/>
  <c r="D5" i="1" s="1"/>
  <c r="E33" i="3"/>
  <c r="F33" i="3" s="1"/>
  <c r="E34" i="3"/>
  <c r="F34" i="3"/>
  <c r="E37" i="3"/>
  <c r="F37" i="3"/>
  <c r="E38" i="3"/>
  <c r="F38" i="3" s="1"/>
  <c r="E49" i="3"/>
  <c r="F49" i="3" s="1"/>
  <c r="E50" i="3"/>
  <c r="F50" i="3"/>
  <c r="F51" i="3"/>
  <c r="F52" i="3"/>
  <c r="F53" i="3"/>
  <c r="E54" i="3"/>
  <c r="F54" i="3" s="1"/>
  <c r="E55" i="3"/>
  <c r="F55" i="3" s="1"/>
  <c r="F56" i="3"/>
  <c r="E57" i="3"/>
  <c r="F57" i="3"/>
  <c r="F99" i="3"/>
  <c r="F100" i="3"/>
  <c r="F102" i="3"/>
  <c r="F106" i="3"/>
  <c r="E118" i="3"/>
  <c r="F118" i="3"/>
  <c r="E119" i="3"/>
  <c r="F119" i="3"/>
  <c r="D123" i="3"/>
  <c r="F123" i="3" s="1"/>
  <c r="D124" i="3"/>
  <c r="F124" i="3" s="1"/>
  <c r="D125" i="3"/>
  <c r="F125" i="3"/>
  <c r="D126" i="3"/>
  <c r="F126" i="3"/>
  <c r="D127" i="3"/>
  <c r="F127" i="3" s="1"/>
  <c r="D128" i="3"/>
  <c r="F128" i="3" s="1"/>
  <c r="D129" i="3"/>
  <c r="F129" i="3"/>
  <c r="D130" i="3"/>
  <c r="F130" i="3"/>
  <c r="D131" i="3"/>
  <c r="F131" i="3" s="1"/>
  <c r="D132" i="3"/>
  <c r="F132" i="3" s="1"/>
  <c r="D136" i="3"/>
  <c r="F136" i="3"/>
  <c r="D137" i="3"/>
  <c r="D138" i="3"/>
  <c r="A135" i="3" s="1"/>
  <c r="D14" i="1" s="1"/>
  <c r="D139" i="3"/>
  <c r="D135" i="3" s="1"/>
  <c r="D140" i="3"/>
  <c r="D141" i="3"/>
  <c r="D142" i="3"/>
  <c r="D143" i="3"/>
  <c r="D144" i="3"/>
  <c r="F144" i="3" s="1"/>
  <c r="D145" i="3"/>
  <c r="D146" i="3"/>
  <c r="F146" i="3" s="1"/>
  <c r="D147" i="3"/>
  <c r="F147" i="3" s="1"/>
  <c r="D148" i="3"/>
  <c r="D149" i="3"/>
  <c r="D150" i="3"/>
  <c r="F140" i="3"/>
  <c r="F141" i="3"/>
  <c r="F142" i="3"/>
  <c r="F143" i="3"/>
  <c r="F145" i="3"/>
  <c r="F148" i="3"/>
  <c r="F149" i="3"/>
  <c r="F150" i="3"/>
  <c r="E153" i="3"/>
  <c r="E15" i="1" s="1"/>
  <c r="D165" i="3"/>
  <c r="F165" i="3" s="1"/>
  <c r="D166" i="3"/>
  <c r="F166" i="3"/>
  <c r="D167" i="3"/>
  <c r="F167" i="3" s="1"/>
  <c r="D168" i="3"/>
  <c r="F168" i="3" s="1"/>
  <c r="D169" i="3"/>
  <c r="F169" i="3" s="1"/>
  <c r="D170" i="3"/>
  <c r="F170" i="3"/>
  <c r="D171" i="3"/>
  <c r="F171" i="3" s="1"/>
  <c r="D172" i="3"/>
  <c r="F172" i="3" s="1"/>
  <c r="D173" i="3"/>
  <c r="F173" i="3" s="1"/>
  <c r="D174" i="3"/>
  <c r="F174" i="3"/>
  <c r="D175" i="3"/>
  <c r="F175" i="3" s="1"/>
  <c r="D181" i="3"/>
  <c r="F181" i="3"/>
  <c r="D182" i="3"/>
  <c r="F182" i="3"/>
  <c r="D183" i="3"/>
  <c r="F183" i="3" s="1"/>
  <c r="D184" i="3"/>
  <c r="F184" i="3" s="1"/>
  <c r="D185" i="3"/>
  <c r="F185" i="3"/>
  <c r="D186" i="3"/>
  <c r="F186" i="3"/>
  <c r="D187" i="3"/>
  <c r="F187" i="3" s="1"/>
  <c r="D188" i="3"/>
  <c r="F188" i="3" s="1"/>
  <c r="D189" i="3"/>
  <c r="F189" i="3"/>
  <c r="D190" i="3"/>
  <c r="F190" i="3"/>
  <c r="D191" i="3"/>
  <c r="F191" i="3" s="1"/>
  <c r="D192" i="3"/>
  <c r="F192" i="3" s="1"/>
  <c r="D193" i="3"/>
  <c r="F193" i="3"/>
  <c r="E50" i="2"/>
  <c r="F50" i="2"/>
  <c r="E120" i="2"/>
  <c r="F120" i="2" s="1"/>
  <c r="E119" i="2"/>
  <c r="F119" i="2" s="1"/>
  <c r="E193" i="2"/>
  <c r="F193" i="2" s="1"/>
  <c r="E171" i="2"/>
  <c r="F171" i="2"/>
  <c r="H19" i="2"/>
  <c r="E19" i="2"/>
  <c r="F19" i="2" s="1"/>
  <c r="E118" i="2"/>
  <c r="F118" i="2"/>
  <c r="E117" i="2"/>
  <c r="F117" i="2"/>
  <c r="E116" i="2"/>
  <c r="F116" i="2" s="1"/>
  <c r="E115" i="2"/>
  <c r="F115" i="2" s="1"/>
  <c r="J100" i="3"/>
  <c r="J103" i="3" s="1"/>
  <c r="L103" i="3" s="1"/>
  <c r="M103" i="3" s="1"/>
  <c r="N103" i="3" s="1"/>
  <c r="O103" i="3" s="1"/>
  <c r="E114" i="2"/>
  <c r="F114" i="2" s="1"/>
  <c r="E113" i="2"/>
  <c r="F113" i="2"/>
  <c r="G22" i="2"/>
  <c r="H22" i="2" s="1"/>
  <c r="E22" i="2"/>
  <c r="F22" i="2"/>
  <c r="E18" i="2"/>
  <c r="F18" i="2" s="1"/>
  <c r="E39" i="3"/>
  <c r="H138" i="2"/>
  <c r="G189" i="2"/>
  <c r="H189" i="2" s="1"/>
  <c r="H133" i="3"/>
  <c r="C91" i="3"/>
  <c r="E91" i="3" s="1"/>
  <c r="E74" i="3"/>
  <c r="L69" i="3"/>
  <c r="M69" i="3"/>
  <c r="N69" i="3" s="1"/>
  <c r="O69" i="3" s="1"/>
  <c r="G57" i="2"/>
  <c r="H57" i="2"/>
  <c r="E57" i="2"/>
  <c r="F57" i="2" s="1"/>
  <c r="B110" i="2"/>
  <c r="G59" i="2"/>
  <c r="E59" i="2"/>
  <c r="F59" i="2" s="1"/>
  <c r="K31" i="2"/>
  <c r="M31" i="2"/>
  <c r="G199" i="2"/>
  <c r="J199" i="2" s="1"/>
  <c r="G198" i="2"/>
  <c r="G195" i="2"/>
  <c r="J195" i="2" s="1"/>
  <c r="H190" i="2"/>
  <c r="H193" i="2"/>
  <c r="E187" i="2"/>
  <c r="F187" i="2" s="1"/>
  <c r="E220" i="3"/>
  <c r="H221" i="3"/>
  <c r="H103" i="3"/>
  <c r="F90" i="3"/>
  <c r="F94" i="3"/>
  <c r="F93" i="3"/>
  <c r="J90" i="3"/>
  <c r="L90" i="3" s="1"/>
  <c r="M90" i="3" s="1"/>
  <c r="N90" i="3" s="1"/>
  <c r="E75" i="3"/>
  <c r="L56" i="3"/>
  <c r="M56" i="3"/>
  <c r="N56" i="3" s="1"/>
  <c r="O56" i="3" s="1"/>
  <c r="E69" i="3"/>
  <c r="H69" i="3"/>
  <c r="G58" i="2"/>
  <c r="H58" i="2" s="1"/>
  <c r="G23" i="2"/>
  <c r="J23" i="2"/>
  <c r="G24" i="2"/>
  <c r="J24" i="2" s="1"/>
  <c r="G25" i="2"/>
  <c r="J25" i="2"/>
  <c r="G26" i="2"/>
  <c r="J26" i="2" s="1"/>
  <c r="G27" i="2"/>
  <c r="J27" i="2"/>
  <c r="G33" i="2"/>
  <c r="J33" i="2" s="1"/>
  <c r="G34" i="2"/>
  <c r="J34" i="2"/>
  <c r="G35" i="2"/>
  <c r="J35" i="2" s="1"/>
  <c r="G36" i="2"/>
  <c r="J36" i="2"/>
  <c r="G37" i="2"/>
  <c r="J37" i="2" s="1"/>
  <c r="G38" i="2"/>
  <c r="J38" i="2"/>
  <c r="G39" i="2"/>
  <c r="J39" i="2" s="1"/>
  <c r="G40" i="2"/>
  <c r="J40" i="2"/>
  <c r="G62" i="2"/>
  <c r="J62" i="2" s="1"/>
  <c r="C63" i="2"/>
  <c r="G63" i="2"/>
  <c r="J63" i="2"/>
  <c r="C64" i="2"/>
  <c r="G64" i="2"/>
  <c r="J64" i="2"/>
  <c r="C65" i="2"/>
  <c r="G65" i="2" s="1"/>
  <c r="J65" i="2" s="1"/>
  <c r="G66" i="2"/>
  <c r="J66" i="2"/>
  <c r="G67" i="2"/>
  <c r="J67" i="2"/>
  <c r="G68" i="2"/>
  <c r="J68" i="2" s="1"/>
  <c r="G69" i="2"/>
  <c r="J69" i="2" s="1"/>
  <c r="C70" i="2"/>
  <c r="G70" i="2"/>
  <c r="J70" i="2" s="1"/>
  <c r="C71" i="2"/>
  <c r="G71" i="2"/>
  <c r="J71" i="2" s="1"/>
  <c r="C72" i="2"/>
  <c r="G72" i="2" s="1"/>
  <c r="J72" i="2" s="1"/>
  <c r="G104" i="2"/>
  <c r="J104" i="2" s="1"/>
  <c r="G105" i="2"/>
  <c r="J105" i="2" s="1"/>
  <c r="G123" i="2"/>
  <c r="J123" i="2"/>
  <c r="G124" i="2"/>
  <c r="J124" i="2"/>
  <c r="G128" i="2"/>
  <c r="J128" i="2" s="1"/>
  <c r="G129" i="2"/>
  <c r="J129" i="2" s="1"/>
  <c r="G130" i="2"/>
  <c r="J130" i="2"/>
  <c r="G131" i="2"/>
  <c r="J131" i="2"/>
  <c r="J133" i="2"/>
  <c r="G148" i="2"/>
  <c r="J148" i="2" s="1"/>
  <c r="G152" i="2"/>
  <c r="J152" i="2"/>
  <c r="G153" i="2"/>
  <c r="J153" i="2" s="1"/>
  <c r="G161" i="2"/>
  <c r="J161" i="2"/>
  <c r="J163" i="2"/>
  <c r="J164" i="2"/>
  <c r="J168" i="2"/>
  <c r="G169" i="2"/>
  <c r="H169" i="2"/>
  <c r="G191" i="2"/>
  <c r="J191" i="2"/>
  <c r="G192" i="2"/>
  <c r="H192" i="2" s="1"/>
  <c r="G196" i="2"/>
  <c r="J196" i="2" s="1"/>
  <c r="G197" i="2"/>
  <c r="J197" i="2"/>
  <c r="J198" i="2"/>
  <c r="G200" i="2"/>
  <c r="J200" i="2"/>
  <c r="G201" i="2"/>
  <c r="J201" i="2" s="1"/>
  <c r="E58" i="2"/>
  <c r="F58" i="2"/>
  <c r="E54" i="2"/>
  <c r="E53" i="2" s="1"/>
  <c r="A53" i="2" s="1"/>
  <c r="B9" i="1" s="1"/>
  <c r="E55" i="2"/>
  <c r="F55" i="2"/>
  <c r="E56" i="2"/>
  <c r="F56" i="2" s="1"/>
  <c r="E137" i="2"/>
  <c r="F137" i="2"/>
  <c r="E138" i="2"/>
  <c r="F138" i="2"/>
  <c r="G56" i="2"/>
  <c r="H56" i="2" s="1"/>
  <c r="E79" i="2"/>
  <c r="F79" i="2" s="1"/>
  <c r="E78" i="2"/>
  <c r="F78" i="2"/>
  <c r="G55" i="2"/>
  <c r="G49" i="2"/>
  <c r="G51" i="2"/>
  <c r="H51" i="2" s="1"/>
  <c r="E80" i="2"/>
  <c r="E15" i="3"/>
  <c r="H15" i="3"/>
  <c r="H16" i="3"/>
  <c r="H41" i="3"/>
  <c r="H43" i="3"/>
  <c r="H44" i="3"/>
  <c r="H45" i="3"/>
  <c r="H46" i="3"/>
  <c r="H58" i="3"/>
  <c r="H59" i="3"/>
  <c r="H60" i="3"/>
  <c r="H61" i="3"/>
  <c r="H62" i="3"/>
  <c r="H63" i="3"/>
  <c r="H64" i="3"/>
  <c r="H65" i="3"/>
  <c r="H66" i="3"/>
  <c r="E79" i="3"/>
  <c r="K84" i="3"/>
  <c r="B79" i="3" s="1"/>
  <c r="E80" i="3"/>
  <c r="K83" i="3"/>
  <c r="B80" i="3" s="1"/>
  <c r="D80" i="3" s="1"/>
  <c r="H81" i="3"/>
  <c r="E82" i="3"/>
  <c r="H82" i="3" s="1"/>
  <c r="E83" i="3"/>
  <c r="H83" i="3"/>
  <c r="E84" i="3"/>
  <c r="H84" i="3" s="1"/>
  <c r="E85" i="3"/>
  <c r="H85" i="3"/>
  <c r="E86" i="3"/>
  <c r="H86" i="3" s="1"/>
  <c r="E96" i="3"/>
  <c r="H96" i="3"/>
  <c r="H107" i="3"/>
  <c r="H108" i="3"/>
  <c r="H109" i="3"/>
  <c r="H110" i="3"/>
  <c r="H111" i="3"/>
  <c r="H112" i="3"/>
  <c r="H113" i="3"/>
  <c r="H114" i="3"/>
  <c r="E120" i="3"/>
  <c r="H120" i="3" s="1"/>
  <c r="E121" i="3"/>
  <c r="H121" i="3" s="1"/>
  <c r="E122" i="3"/>
  <c r="H122" i="3" s="1"/>
  <c r="E123" i="3"/>
  <c r="H123" i="3"/>
  <c r="E124" i="3"/>
  <c r="H124" i="3" s="1"/>
  <c r="E125" i="3"/>
  <c r="H125" i="3" s="1"/>
  <c r="E126" i="3"/>
  <c r="H126" i="3" s="1"/>
  <c r="E127" i="3"/>
  <c r="H127" i="3"/>
  <c r="E128" i="3"/>
  <c r="H128" i="3" s="1"/>
  <c r="E129" i="3"/>
  <c r="H129" i="3" s="1"/>
  <c r="E130" i="3"/>
  <c r="H130" i="3" s="1"/>
  <c r="E131" i="3"/>
  <c r="H131" i="3"/>
  <c r="E132" i="3"/>
  <c r="H132" i="3" s="1"/>
  <c r="E154" i="3"/>
  <c r="H154" i="3" s="1"/>
  <c r="H155" i="3"/>
  <c r="H156" i="3"/>
  <c r="H157" i="3"/>
  <c r="E158" i="3"/>
  <c r="H158" i="3" s="1"/>
  <c r="E161" i="3"/>
  <c r="H161" i="3" s="1"/>
  <c r="H162" i="3"/>
  <c r="E196" i="3"/>
  <c r="F196" i="3" s="1"/>
  <c r="E195" i="3" s="1"/>
  <c r="E18" i="1" s="1"/>
  <c r="H203" i="3"/>
  <c r="H204" i="3"/>
  <c r="H205" i="3"/>
  <c r="H206" i="3"/>
  <c r="H207" i="3"/>
  <c r="H208" i="3"/>
  <c r="H209" i="3"/>
  <c r="H210" i="3"/>
  <c r="H215" i="3"/>
  <c r="H220" i="3"/>
  <c r="E222" i="3"/>
  <c r="H222" i="3" s="1"/>
  <c r="E223" i="3"/>
  <c r="H223" i="3" s="1"/>
  <c r="E177" i="2"/>
  <c r="F177" i="2"/>
  <c r="E176" i="2"/>
  <c r="F176" i="2" s="1"/>
  <c r="E141" i="2"/>
  <c r="F141" i="2" s="1"/>
  <c r="E48" i="2"/>
  <c r="D106" i="3"/>
  <c r="E51" i="2"/>
  <c r="F51" i="2"/>
  <c r="E43" i="2"/>
  <c r="E42" i="2" s="1"/>
  <c r="E44" i="2"/>
  <c r="F44" i="2" s="1"/>
  <c r="E45" i="2"/>
  <c r="F45" i="2"/>
  <c r="E46" i="2"/>
  <c r="F46" i="2"/>
  <c r="E47" i="2"/>
  <c r="F47" i="2" s="1"/>
  <c r="E49" i="2"/>
  <c r="F49" i="2" s="1"/>
  <c r="G54" i="2"/>
  <c r="E32" i="2"/>
  <c r="F32" i="2" s="1"/>
  <c r="E33" i="2"/>
  <c r="F33" i="2"/>
  <c r="E34" i="2"/>
  <c r="F34" i="2" s="1"/>
  <c r="E35" i="2"/>
  <c r="F35" i="2" s="1"/>
  <c r="E36" i="2"/>
  <c r="F36" i="2" s="1"/>
  <c r="E37" i="2"/>
  <c r="F37" i="2"/>
  <c r="E38" i="2"/>
  <c r="F38" i="2" s="1"/>
  <c r="E39" i="2"/>
  <c r="F39" i="2" s="1"/>
  <c r="E40" i="2"/>
  <c r="F40" i="2" s="1"/>
  <c r="E30" i="2"/>
  <c r="E31" i="2"/>
  <c r="F31" i="2" s="1"/>
  <c r="E17" i="3"/>
  <c r="F17" i="3" s="1"/>
  <c r="E18" i="3"/>
  <c r="F18" i="3"/>
  <c r="E19" i="3"/>
  <c r="F19" i="3"/>
  <c r="E20" i="3"/>
  <c r="F20" i="3" s="1"/>
  <c r="E21" i="3"/>
  <c r="F21" i="3" s="1"/>
  <c r="E22" i="3"/>
  <c r="F22" i="3"/>
  <c r="D23" i="3"/>
  <c r="F23" i="3"/>
  <c r="D24" i="3"/>
  <c r="F24" i="3" s="1"/>
  <c r="D25" i="3"/>
  <c r="F25" i="3" s="1"/>
  <c r="D26" i="3"/>
  <c r="F26" i="3"/>
  <c r="D27" i="3"/>
  <c r="F27" i="3"/>
  <c r="D28" i="3"/>
  <c r="F28" i="3" s="1"/>
  <c r="D29" i="3"/>
  <c r="F29" i="3" s="1"/>
  <c r="F43" i="3"/>
  <c r="F44" i="3"/>
  <c r="F45" i="3"/>
  <c r="D15" i="3"/>
  <c r="D16" i="3"/>
  <c r="D14" i="3" s="1"/>
  <c r="D17" i="3"/>
  <c r="D18" i="3"/>
  <c r="D19" i="3"/>
  <c r="D20" i="3"/>
  <c r="D21" i="3"/>
  <c r="D22" i="3"/>
  <c r="E167" i="2"/>
  <c r="E166" i="2" s="1"/>
  <c r="E168" i="2"/>
  <c r="F168" i="2" s="1"/>
  <c r="E169" i="2"/>
  <c r="E170" i="2"/>
  <c r="E172" i="2"/>
  <c r="F172" i="2"/>
  <c r="E173" i="2"/>
  <c r="F173" i="2" s="1"/>
  <c r="F169" i="2"/>
  <c r="E174" i="2"/>
  <c r="F174" i="2" s="1"/>
  <c r="E175" i="2"/>
  <c r="F175" i="2" s="1"/>
  <c r="E189" i="2"/>
  <c r="E190" i="2"/>
  <c r="E186" i="2" s="1"/>
  <c r="E191" i="2"/>
  <c r="F191" i="2" s="1"/>
  <c r="E192" i="2"/>
  <c r="F192" i="2"/>
  <c r="E194" i="2"/>
  <c r="F194" i="2"/>
  <c r="E195" i="2"/>
  <c r="F195" i="2" s="1"/>
  <c r="E196" i="2"/>
  <c r="F196" i="2" s="1"/>
  <c r="E197" i="2"/>
  <c r="F197" i="2"/>
  <c r="D49" i="3"/>
  <c r="D50" i="3"/>
  <c r="D48" i="3" s="1"/>
  <c r="D51" i="3"/>
  <c r="A48" i="3" s="1"/>
  <c r="D8" i="1" s="1"/>
  <c r="D52" i="3"/>
  <c r="D53" i="3"/>
  <c r="D54" i="3"/>
  <c r="D55" i="3"/>
  <c r="D56" i="3"/>
  <c r="D57" i="3"/>
  <c r="E98" i="2"/>
  <c r="F98" i="2" s="1"/>
  <c r="D214" i="3"/>
  <c r="D196" i="3"/>
  <c r="E132" i="2"/>
  <c r="F132" i="2" s="1"/>
  <c r="K13" i="2"/>
  <c r="M13" i="2"/>
  <c r="P13" i="2" s="1"/>
  <c r="E70" i="2"/>
  <c r="F70" i="2" s="1"/>
  <c r="E63" i="2"/>
  <c r="F63" i="2" s="1"/>
  <c r="E10" i="2"/>
  <c r="F10" i="2" s="1"/>
  <c r="E11" i="2"/>
  <c r="F11" i="2"/>
  <c r="E12" i="2"/>
  <c r="F12" i="2" s="1"/>
  <c r="E13" i="2"/>
  <c r="F13" i="2" s="1"/>
  <c r="E14" i="2"/>
  <c r="F14" i="2" s="1"/>
  <c r="E16" i="2"/>
  <c r="F16" i="2"/>
  <c r="E23" i="2"/>
  <c r="F23" i="2" s="1"/>
  <c r="E24" i="2"/>
  <c r="F24" i="2" s="1"/>
  <c r="E25" i="2"/>
  <c r="F25" i="2" s="1"/>
  <c r="E26" i="2"/>
  <c r="F26" i="2"/>
  <c r="E27" i="2"/>
  <c r="F27" i="2" s="1"/>
  <c r="E62" i="2"/>
  <c r="F62" i="2" s="1"/>
  <c r="E66" i="2"/>
  <c r="F66" i="2" s="1"/>
  <c r="E67" i="2"/>
  <c r="F67" i="2"/>
  <c r="E68" i="2"/>
  <c r="F68" i="2" s="1"/>
  <c r="E69" i="2"/>
  <c r="F69" i="2" s="1"/>
  <c r="E76" i="2"/>
  <c r="A75" i="2" s="1"/>
  <c r="B11" i="1" s="1"/>
  <c r="E77" i="2"/>
  <c r="F77" i="2"/>
  <c r="E104" i="2"/>
  <c r="F104" i="2" s="1"/>
  <c r="E105" i="2"/>
  <c r="F105" i="2" s="1"/>
  <c r="E128" i="2"/>
  <c r="A127" i="2" s="1"/>
  <c r="B13" i="1" s="1"/>
  <c r="G13" i="1" s="1"/>
  <c r="E129" i="2"/>
  <c r="F129" i="2"/>
  <c r="E130" i="2"/>
  <c r="F130" i="2" s="1"/>
  <c r="E131" i="2"/>
  <c r="F131" i="2" s="1"/>
  <c r="E136" i="2"/>
  <c r="E139" i="2"/>
  <c r="A135" i="2" s="1"/>
  <c r="B14" i="1" s="1"/>
  <c r="E140" i="2"/>
  <c r="F140" i="2"/>
  <c r="E148" i="2"/>
  <c r="E147" i="2" s="1"/>
  <c r="E149" i="2"/>
  <c r="F149" i="2" s="1"/>
  <c r="E152" i="2"/>
  <c r="E151" i="2" s="1"/>
  <c r="E153" i="2"/>
  <c r="F153" i="2"/>
  <c r="E154" i="2"/>
  <c r="F154" i="2" s="1"/>
  <c r="E155" i="2"/>
  <c r="F155" i="2" s="1"/>
  <c r="E161" i="2"/>
  <c r="F161" i="2" s="1"/>
  <c r="E162" i="2"/>
  <c r="F162" i="2"/>
  <c r="E163" i="2"/>
  <c r="F163" i="2" s="1"/>
  <c r="D33" i="3"/>
  <c r="D34" i="3"/>
  <c r="D35" i="3"/>
  <c r="A32" i="3" s="1"/>
  <c r="D7" i="1" s="1"/>
  <c r="D36" i="3"/>
  <c r="D37" i="3"/>
  <c r="D38" i="3"/>
  <c r="D32" i="3" s="1"/>
  <c r="D39" i="3"/>
  <c r="D40" i="3"/>
  <c r="D41" i="3"/>
  <c r="D42" i="3"/>
  <c r="D69" i="3"/>
  <c r="D81" i="3"/>
  <c r="D82" i="3"/>
  <c r="D83" i="3"/>
  <c r="D90" i="3"/>
  <c r="D93" i="3"/>
  <c r="D94" i="3"/>
  <c r="D95" i="3"/>
  <c r="D96" i="3"/>
  <c r="D101" i="3"/>
  <c r="D103" i="3"/>
  <c r="D104" i="3"/>
  <c r="D105" i="3"/>
  <c r="D118" i="3"/>
  <c r="D119" i="3"/>
  <c r="D120" i="3"/>
  <c r="D121" i="3"/>
  <c r="D122" i="3"/>
  <c r="A117" i="3" s="1"/>
  <c r="D13" i="1" s="1"/>
  <c r="D154" i="3"/>
  <c r="D155" i="3"/>
  <c r="D156" i="3"/>
  <c r="D157" i="3"/>
  <c r="D161" i="3"/>
  <c r="A160" i="3" s="1"/>
  <c r="D16" i="1" s="1"/>
  <c r="D160" i="3"/>
  <c r="D197" i="3"/>
  <c r="A195" i="3" s="1"/>
  <c r="D18" i="1" s="1"/>
  <c r="D198" i="3"/>
  <c r="D215" i="3"/>
  <c r="D216" i="3"/>
  <c r="D217" i="3"/>
  <c r="D218" i="3"/>
  <c r="D219" i="3"/>
  <c r="D220" i="3"/>
  <c r="D221" i="3"/>
  <c r="D222" i="3"/>
  <c r="D223" i="3"/>
  <c r="D224" i="3"/>
  <c r="D226" i="3"/>
  <c r="D227" i="3"/>
  <c r="D228" i="3"/>
  <c r="K86" i="3"/>
  <c r="D86" i="3"/>
  <c r="K85" i="3"/>
  <c r="D85" i="3"/>
  <c r="K80" i="3"/>
  <c r="K81" i="3"/>
  <c r="K82" i="3"/>
  <c r="K79" i="3"/>
  <c r="K16" i="2"/>
  <c r="M16" i="2"/>
  <c r="P16" i="2" s="1"/>
  <c r="A3" i="1"/>
  <c r="E149" i="3"/>
  <c r="E150" i="3"/>
  <c r="D151" i="3"/>
  <c r="F151" i="3"/>
  <c r="E151" i="3"/>
  <c r="F104" i="3"/>
  <c r="F101" i="3"/>
  <c r="E98" i="3" s="1"/>
  <c r="E12" i="1" s="1"/>
  <c r="F95" i="3"/>
  <c r="E148" i="3"/>
  <c r="E147" i="3"/>
  <c r="K15" i="2"/>
  <c r="K12" i="2"/>
  <c r="E124" i="2"/>
  <c r="F124" i="2" s="1"/>
  <c r="E123" i="2"/>
  <c r="F123" i="2" s="1"/>
  <c r="G122" i="2"/>
  <c r="E122" i="2"/>
  <c r="F122" i="2" s="1"/>
  <c r="J71" i="3"/>
  <c r="F164" i="2"/>
  <c r="D158" i="3"/>
  <c r="D153" i="3" s="1"/>
  <c r="B3" i="1"/>
  <c r="E229" i="3"/>
  <c r="E228" i="3"/>
  <c r="E227" i="3"/>
  <c r="E226" i="3"/>
  <c r="E146" i="3"/>
  <c r="E145" i="3"/>
  <c r="E144" i="3"/>
  <c r="E143" i="3"/>
  <c r="E142" i="3"/>
  <c r="E141" i="3"/>
  <c r="E140" i="3"/>
  <c r="E139" i="3"/>
  <c r="E138" i="3"/>
  <c r="E137" i="3"/>
  <c r="E136" i="3"/>
  <c r="E42" i="3"/>
  <c r="E40" i="3"/>
  <c r="F39" i="3"/>
  <c r="E29" i="3"/>
  <c r="E28" i="3"/>
  <c r="E27" i="3"/>
  <c r="E26" i="3"/>
  <c r="E25" i="3"/>
  <c r="E24" i="3"/>
  <c r="E23" i="3"/>
  <c r="E198" i="2"/>
  <c r="F198" i="2"/>
  <c r="E199" i="2"/>
  <c r="F199" i="2"/>
  <c r="E200" i="2"/>
  <c r="F200" i="2" s="1"/>
  <c r="E201" i="2"/>
  <c r="F201" i="2" s="1"/>
  <c r="A2" i="3"/>
  <c r="D58" i="3"/>
  <c r="F58" i="3" s="1"/>
  <c r="D59" i="3"/>
  <c r="F59" i="3"/>
  <c r="D60" i="3"/>
  <c r="F60" i="3" s="1"/>
  <c r="D61" i="3"/>
  <c r="F61" i="3"/>
  <c r="D62" i="3"/>
  <c r="F62" i="3" s="1"/>
  <c r="D63" i="3"/>
  <c r="F63" i="3"/>
  <c r="D64" i="3"/>
  <c r="F64" i="3" s="1"/>
  <c r="D65" i="3"/>
  <c r="F65" i="3"/>
  <c r="D66" i="3"/>
  <c r="F66" i="3" s="1"/>
  <c r="L214" i="3"/>
  <c r="M214" i="3"/>
  <c r="N214" i="3" s="1"/>
  <c r="O214" i="3" s="1"/>
  <c r="L72" i="3"/>
  <c r="M72" i="3"/>
  <c r="N72" i="3"/>
  <c r="O72" i="3" s="1"/>
  <c r="D213" i="3"/>
  <c r="D212" i="3" s="1"/>
  <c r="D84" i="3"/>
  <c r="F189" i="2"/>
  <c r="H31" i="2"/>
  <c r="H29" i="2" s="1"/>
  <c r="C7" i="1" s="1"/>
  <c r="A14" i="3"/>
  <c r="D6" i="1" s="1"/>
  <c r="E103" i="2"/>
  <c r="F103" i="2"/>
  <c r="D225" i="3"/>
  <c r="D75" i="3"/>
  <c r="F80" i="2"/>
  <c r="F128" i="2"/>
  <c r="F127" i="2" s="1"/>
  <c r="F30" i="2"/>
  <c r="A153" i="3"/>
  <c r="D15" i="1" s="1"/>
  <c r="D195" i="3"/>
  <c r="A42" i="2"/>
  <c r="B8" i="1" s="1"/>
  <c r="D70" i="3"/>
  <c r="D72" i="3"/>
  <c r="D76" i="3"/>
  <c r="D71" i="3"/>
  <c r="D99" i="3"/>
  <c r="D100" i="3"/>
  <c r="E64" i="2"/>
  <c r="E61" i="2" s="1"/>
  <c r="F64" i="2"/>
  <c r="E65" i="2"/>
  <c r="F65" i="2" s="1"/>
  <c r="G15" i="2"/>
  <c r="H15" i="2"/>
  <c r="E15" i="2"/>
  <c r="F15" i="2" s="1"/>
  <c r="E21" i="2"/>
  <c r="A21" i="2"/>
  <c r="B6" i="1" s="1"/>
  <c r="F137" i="3"/>
  <c r="N31" i="2"/>
  <c r="O31" i="2" s="1"/>
  <c r="P31" i="2"/>
  <c r="E71" i="2"/>
  <c r="F71" i="2"/>
  <c r="F136" i="2"/>
  <c r="F170" i="2"/>
  <c r="A147" i="2"/>
  <c r="B15" i="1" s="1"/>
  <c r="G15" i="1" s="1"/>
  <c r="F48" i="2"/>
  <c r="B109" i="2"/>
  <c r="E81" i="2"/>
  <c r="F81" i="2" s="1"/>
  <c r="E127" i="2"/>
  <c r="A151" i="2"/>
  <c r="B16" i="1" s="1"/>
  <c r="E75" i="2"/>
  <c r="C17" i="2"/>
  <c r="E17" i="2" s="1"/>
  <c r="B106" i="2"/>
  <c r="C102" i="3" s="1"/>
  <c r="D102" i="3" s="1"/>
  <c r="C97" i="2"/>
  <c r="E97" i="2" s="1"/>
  <c r="L100" i="3"/>
  <c r="M100" i="3" s="1"/>
  <c r="N100" i="3" s="1"/>
  <c r="O100" i="3" s="1"/>
  <c r="H7" i="3" l="1"/>
  <c r="H80" i="3"/>
  <c r="G14" i="1"/>
  <c r="H75" i="2"/>
  <c r="C11" i="1" s="1"/>
  <c r="G8" i="1"/>
  <c r="H79" i="3"/>
  <c r="D79" i="3"/>
  <c r="E117" i="3"/>
  <c r="E13" i="1" s="1"/>
  <c r="F13" i="1" s="1"/>
  <c r="H186" i="2"/>
  <c r="C19" i="1" s="1"/>
  <c r="F97" i="2"/>
  <c r="E160" i="3"/>
  <c r="E16" i="1" s="1"/>
  <c r="F16" i="1" s="1"/>
  <c r="E32" i="3"/>
  <c r="E7" i="1" s="1"/>
  <c r="F7" i="1" s="1"/>
  <c r="H42" i="2"/>
  <c r="C8" i="1" s="1"/>
  <c r="H53" i="2"/>
  <c r="C9" i="1" s="1"/>
  <c r="F9" i="1" s="1"/>
  <c r="F15" i="1"/>
  <c r="K112" i="2"/>
  <c r="F17" i="2"/>
  <c r="A9" i="2" s="1"/>
  <c r="B5" i="1" s="1"/>
  <c r="E9" i="2"/>
  <c r="F29" i="2"/>
  <c r="A29" i="2" s="1"/>
  <c r="B7" i="1" s="1"/>
  <c r="G7" i="1" s="1"/>
  <c r="F186" i="2"/>
  <c r="E48" i="3"/>
  <c r="E8" i="1" s="1"/>
  <c r="H9" i="2"/>
  <c r="C5" i="1" s="1"/>
  <c r="F5" i="1" s="1"/>
  <c r="D117" i="3"/>
  <c r="E29" i="2"/>
  <c r="N13" i="2"/>
  <c r="O13" i="2" s="1"/>
  <c r="P14" i="2" s="1"/>
  <c r="A186" i="2"/>
  <c r="B19" i="1" s="1"/>
  <c r="K10" i="2"/>
  <c r="M10" i="2" s="1"/>
  <c r="N10" i="2" s="1"/>
  <c r="O10" i="2" s="1"/>
  <c r="P11" i="2" s="1"/>
  <c r="F148" i="2"/>
  <c r="F147" i="2" s="1"/>
  <c r="J76" i="3"/>
  <c r="L76" i="3" s="1"/>
  <c r="M76" i="3" s="1"/>
  <c r="N76" i="3" s="1"/>
  <c r="A61" i="2"/>
  <c r="B10" i="1" s="1"/>
  <c r="F190" i="2"/>
  <c r="F167" i="2"/>
  <c r="F166" i="2" s="1"/>
  <c r="F43" i="2"/>
  <c r="F42" i="2" s="1"/>
  <c r="F11" i="3"/>
  <c r="E8" i="3" s="1"/>
  <c r="E5" i="1" s="1"/>
  <c r="G101" i="2"/>
  <c r="H101" i="2" s="1"/>
  <c r="E135" i="2"/>
  <c r="F139" i="3"/>
  <c r="H159" i="2"/>
  <c r="H158" i="2" s="1"/>
  <c r="C17" i="1" s="1"/>
  <c r="C99" i="2"/>
  <c r="F152" i="2"/>
  <c r="F151" i="2" s="1"/>
  <c r="F139" i="2"/>
  <c r="F135" i="2" s="1"/>
  <c r="F76" i="2"/>
  <c r="F75" i="2" s="1"/>
  <c r="F54" i="2"/>
  <c r="F53" i="2" s="1"/>
  <c r="F138" i="3"/>
  <c r="E135" i="3" s="1"/>
  <c r="E14" i="1" s="1"/>
  <c r="C73" i="2"/>
  <c r="E212" i="3"/>
  <c r="E19" i="1" s="1"/>
  <c r="F19" i="1" s="1"/>
  <c r="L115" i="2"/>
  <c r="N16" i="2"/>
  <c r="O16" i="2" s="1"/>
  <c r="P17" i="2" s="1"/>
  <c r="P20" i="2" s="1"/>
  <c r="E72" i="2"/>
  <c r="F72" i="2" s="1"/>
  <c r="A166" i="2"/>
  <c r="B18" i="1" s="1"/>
  <c r="G18" i="1" s="1"/>
  <c r="A212" i="3"/>
  <c r="D19" i="1" s="1"/>
  <c r="C179" i="3"/>
  <c r="E179" i="3" s="1"/>
  <c r="F179" i="3" s="1"/>
  <c r="F10" i="1"/>
  <c r="F6" i="1"/>
  <c r="F18" i="1"/>
  <c r="G16" i="1"/>
  <c r="G6" i="1"/>
  <c r="D91" i="3"/>
  <c r="H135" i="2"/>
  <c r="C14" i="1" s="1"/>
  <c r="F14" i="1" s="1"/>
  <c r="D179" i="3"/>
  <c r="C89" i="3"/>
  <c r="O90" i="3"/>
  <c r="C92" i="3"/>
  <c r="O93" i="3"/>
  <c r="C73" i="3"/>
  <c r="D73" i="3" s="1"/>
  <c r="O76" i="3"/>
  <c r="D98" i="3"/>
  <c r="A98" i="3"/>
  <c r="D12" i="1" s="1"/>
  <c r="F8" i="1"/>
  <c r="P21" i="2" l="1"/>
  <c r="P29" i="2"/>
  <c r="C159" i="2" s="1"/>
  <c r="G5" i="1"/>
  <c r="G73" i="2"/>
  <c r="J73" i="2" s="1"/>
  <c r="J7" i="2" s="1"/>
  <c r="E73" i="2"/>
  <c r="F73" i="2" s="1"/>
  <c r="A78" i="3"/>
  <c r="D10" i="1" s="1"/>
  <c r="G10" i="1" s="1"/>
  <c r="D78" i="3"/>
  <c r="G19" i="1"/>
  <c r="F9" i="2"/>
  <c r="C180" i="3"/>
  <c r="E180" i="3" s="1"/>
  <c r="F180" i="3" s="1"/>
  <c r="E99" i="2"/>
  <c r="G99" i="2"/>
  <c r="H99" i="2" s="1"/>
  <c r="C100" i="2"/>
  <c r="F21" i="2"/>
  <c r="D180" i="3"/>
  <c r="D68" i="3"/>
  <c r="A68" i="3"/>
  <c r="D92" i="3"/>
  <c r="E92" i="3"/>
  <c r="F92" i="3" s="1"/>
  <c r="D89" i="3"/>
  <c r="E89" i="3"/>
  <c r="F89" i="3" s="1"/>
  <c r="G100" i="2" l="1"/>
  <c r="H100" i="2" s="1"/>
  <c r="H96" i="2" s="1"/>
  <c r="C12" i="1" s="1"/>
  <c r="C101" i="2"/>
  <c r="E100" i="2"/>
  <c r="F100" i="2" s="1"/>
  <c r="F99" i="2"/>
  <c r="E159" i="2"/>
  <c r="C160" i="2"/>
  <c r="E160" i="2" s="1"/>
  <c r="F160" i="2" s="1"/>
  <c r="E178" i="3"/>
  <c r="E17" i="1" s="1"/>
  <c r="F17" i="1" s="1"/>
  <c r="E88" i="3"/>
  <c r="A178" i="3"/>
  <c r="D17" i="1" s="1"/>
  <c r="D178" i="3"/>
  <c r="D9" i="1"/>
  <c r="D3" i="3"/>
  <c r="E11" i="1"/>
  <c r="D88" i="3"/>
  <c r="A88" i="3"/>
  <c r="D11" i="1" s="1"/>
  <c r="G11" i="1" s="1"/>
  <c r="F12" i="1" l="1"/>
  <c r="C22" i="1"/>
  <c r="F159" i="2"/>
  <c r="F158" i="2" s="1"/>
  <c r="E158" i="2"/>
  <c r="A158" i="2"/>
  <c r="B17" i="1" s="1"/>
  <c r="G17" i="1" s="1"/>
  <c r="E101" i="2"/>
  <c r="C102" i="2"/>
  <c r="E102" i="2" s="1"/>
  <c r="F102" i="2" s="1"/>
  <c r="B3" i="3"/>
  <c r="F11" i="1"/>
  <c r="E22" i="1"/>
  <c r="F22" i="1" s="1"/>
  <c r="E27" i="1" s="1"/>
  <c r="D22" i="1"/>
  <c r="G9" i="1"/>
  <c r="F101" i="2" l="1"/>
  <c r="F96" i="2" s="1"/>
  <c r="E96" i="2"/>
  <c r="A96" i="2"/>
  <c r="B12" i="1" s="1"/>
  <c r="D21" i="1"/>
  <c r="G12" i="1" l="1"/>
  <c r="B22" i="1"/>
  <c r="B21" i="1" l="1"/>
  <c r="F21" i="1" s="1"/>
  <c r="F23" i="1"/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tc={3E46EB7C-4594-49B3-BBB9-8E0A85F28730}</author>
    <author>tc={D47B3258-C2B6-4795-94FA-B777CE860A96}</author>
  </authors>
  <commentList>
    <comment ref="C15" authorId="0" shapeId="0" xr:uid="{00000000-0006-0000-0200-000001000000}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Nem biztos hogy kell</t>
        </r>
      </text>
    </comment>
    <comment ref="C41" authorId="1" shapeId="0" xr:uid="{00000000-0006-0000-0200-000002000000}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??</t>
        </r>
      </text>
    </comment>
  </commentList>
</comments>
</file>

<file path=xl/sharedStrings.xml><?xml version="1.0" encoding="utf-8"?>
<sst xmlns="http://schemas.openxmlformats.org/spreadsheetml/2006/main" count="679" uniqueCount="387">
  <si>
    <t>Forgách u.</t>
  </si>
  <si>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</si>
  <si>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</si>
  <si>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</si>
  <si>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t>várható Anyagköltségek</t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</si>
  <si>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</si>
  <si>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t>AKTUÁLIS összeg</t>
  </si>
  <si>
    <t>összesen</t>
  </si>
  <si>
    <t>Bontások</t>
  </si>
  <si>
    <t>Fűtés és Gázvezeték kiépítés</t>
  </si>
  <si>
    <t>Vízvezeték kiépítés</t>
  </si>
  <si>
    <t>Villany szerelés</t>
  </si>
  <si>
    <t>Aljzatbeton, Falak, Vakolatok</t>
  </si>
  <si>
    <t>Galéria</t>
  </si>
  <si>
    <t>Burkolatok</t>
  </si>
  <si>
    <t>Festés, tapétázás</t>
  </si>
  <si>
    <t>Mázolás</t>
  </si>
  <si>
    <t>Szerelvényezés, beüzemelés</t>
  </si>
  <si>
    <t>Füstgáz elvezetés</t>
  </si>
  <si>
    <t xml:space="preserve"> Hitelesítések </t>
  </si>
  <si>
    <t>Sitt, kezelés,  elszállítás</t>
  </si>
  <si>
    <t>Kimaradt</t>
  </si>
  <si>
    <t>Keletkezni látszik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</si>
  <si>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</si>
  <si>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http://www.lakasfelujitasunk.hu/anyagbeszerzes/</t>
  </si>
  <si>
    <t>Biztonsági tartalék</t>
  </si>
  <si>
    <t>tartalék összesen, amiről még nem tudjuk, mire kell….</t>
  </si>
  <si>
    <t>aktuális, nettó/bruttó</t>
  </si>
  <si>
    <t>alap</t>
  </si>
  <si>
    <t>AKTUÁLIS</t>
  </si>
  <si>
    <t xml:space="preserve">tervezett nettó/bruttó </t>
  </si>
  <si>
    <t>Fontos informciók a költségvetéshez:</t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</si>
  <si>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</si>
  <si>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</si>
  <si>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t>KÖLTSÉGKÁLÓVAL</t>
  </si>
  <si>
    <t>http://lakasfelujitasunk.hu/felmeres.html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</si>
  <si>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</si>
  <si>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felvett:</t>
  </si>
  <si>
    <t>dátum:</t>
  </si>
  <si>
    <t>megjegyzés:</t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</si>
  <si>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</si>
  <si>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utalva</t>
  </si>
  <si>
    <t>1210 0011 -   1776 0328  -  0000 0000</t>
  </si>
  <si>
    <t>költségvetési</t>
  </si>
  <si>
    <t>AuraColor265</t>
  </si>
  <si>
    <t>szerződési</t>
  </si>
  <si>
    <t>Díjkalkuláció</t>
  </si>
  <si>
    <t xml:space="preserve">Kérem, minden számot összegzést Ön is ellenőrizzen, </t>
  </si>
  <si>
    <t>Bármilyen számszaki hiba előfordulhat!</t>
  </si>
  <si>
    <t>auracolor@hotmail.com  Tóth Róbert +3630 68 00 444</t>
  </si>
  <si>
    <t>Gyakoriak az összegzési hibák!</t>
  </si>
  <si>
    <t>Aktuális munkadíj kedvezménnyel nettó összesen:</t>
  </si>
  <si>
    <t>Kezdéskor ezt az oszlopot kinullázzuk, majd ahogy készülnek a dolgok, újra visszaírjuk.</t>
  </si>
  <si>
    <t>kedvezmény nélkül: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</si>
  <si>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</si>
  <si>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alapár,</t>
  </si>
  <si>
    <t>tervezett mennyiség,</t>
  </si>
  <si>
    <t>annyi mint:</t>
  </si>
  <si>
    <t>tervezett összeg</t>
  </si>
  <si>
    <t>valóságos mennyiség,</t>
  </si>
  <si>
    <t>aktuális</t>
  </si>
  <si>
    <t>Hátra van még...</t>
  </si>
  <si>
    <t>Ft/m2, Ft/m, Ft/db</t>
  </si>
  <si>
    <t>m2, m, db</t>
  </si>
  <si>
    <t>KÉSZ</t>
  </si>
  <si>
    <t>padló</t>
  </si>
  <si>
    <t>vastagság</t>
  </si>
  <si>
    <t>térfogat</t>
  </si>
  <si>
    <t>súly 1,6 kg/lit</t>
  </si>
  <si>
    <t>csomagolva</t>
  </si>
  <si>
    <t>konténer lazaságú térfogat</t>
  </si>
  <si>
    <t>hidegpadló bontás</t>
  </si>
  <si>
    <t>fal bontása</t>
  </si>
  <si>
    <t>ha mondjuk 27 zsák egy m3, akkor: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</si>
  <si>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darabok, mondjuk…</t>
    </r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</si>
  <si>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</si>
  <si>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gázcsõ megszüntetés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</si>
  <si>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 csempe bontása </t>
    </r>
    <r>
      <rPr>
        <b/>
        <sz val="12"/>
        <color indexed="10"/>
        <rFont val="Arial"/>
        <family val="2"/>
        <charset val="238"/>
      </rPr>
      <t>mondjuk</t>
    </r>
  </si>
  <si>
    <t>laminált parketta bontása</t>
  </si>
  <si>
    <t>tapéta bontása</t>
  </si>
  <si>
    <t>ajtó bontás</t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</si>
  <si>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</si>
  <si>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elkészült mennyiség,</t>
  </si>
  <si>
    <t>bontási sitt összesen:</t>
  </si>
  <si>
    <t>Zsák:</t>
  </si>
  <si>
    <t>gázkonvektor megszüntetés, fal javítás</t>
  </si>
  <si>
    <t>temperáló padlófűtés kialakítása</t>
  </si>
  <si>
    <t>radiátor kiállás, törölköző szárító</t>
  </si>
  <si>
    <t>gázkazán  installálás</t>
  </si>
  <si>
    <t>klíma előkészítés, csövek beépítése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</si>
  <si>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</si>
  <si>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mennyiség,</t>
  </si>
  <si>
    <t>plusz építési sitt + ajtók tokok</t>
  </si>
  <si>
    <t>az összesen:</t>
  </si>
  <si>
    <t>stang elzárás</t>
  </si>
  <si>
    <t>laminált bontása</t>
  </si>
  <si>
    <t>wc FELSŐtartály kiépítése</t>
  </si>
  <si>
    <t>vízóra áthelyezés</t>
  </si>
  <si>
    <t>vízszűrő kiépítés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</si>
  <si>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</si>
  <si>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r>
      <t xml:space="preserve">konyha erős </t>
    </r>
    <r>
      <rPr>
        <b/>
        <sz val="12"/>
        <color rgb="FFFF0000"/>
        <rFont val="Arial"/>
        <family val="2"/>
        <charset val="238"/>
      </rPr>
      <t>INDUKCIÓS</t>
    </r>
    <r>
      <rPr>
        <sz val="12"/>
        <rFont val="Arial"/>
        <family val="2"/>
        <charset val="238"/>
      </rPr>
      <t xml:space="preserve"> vezeték külön vezeték kiépítése</t>
    </r>
  </si>
  <si>
    <t>konnektor helyek kiképzése</t>
  </si>
  <si>
    <t>világitás, két kapcsolóval</t>
  </si>
  <si>
    <t>spott lámpa</t>
  </si>
  <si>
    <t>világitás, egy kapcsolóval</t>
  </si>
  <si>
    <t>komunikációs kiállás, dupla vezetékkel</t>
  </si>
  <si>
    <t>led szalagok életrekeltése</t>
  </si>
  <si>
    <t>biztosítéktábla, ujra szerelése, Fi relével</t>
  </si>
  <si>
    <t>réteg</t>
  </si>
  <si>
    <t>álmenyezet, a konyhában</t>
  </si>
  <si>
    <t>strang kartonozása</t>
  </si>
  <si>
    <t>egész fürdőszoba vízszigetelése</t>
  </si>
  <si>
    <t>egész fürdőszoba aljzatkiegyenlítése</t>
  </si>
  <si>
    <t>belső ajtó csere</t>
  </si>
  <si>
    <t>fémszerkezet építése</t>
  </si>
  <si>
    <t>rozszdagátlás, alapozás 2 rtg.</t>
  </si>
  <si>
    <t>Osb lapozás</t>
  </si>
  <si>
    <t>kartonozás</t>
  </si>
  <si>
    <t>korlát speciális ritka rácsos korlát</t>
  </si>
  <si>
    <t>lépcső lapok, csiszolása, lakkozása, telepítése (átlagos,  egyszerű lépcső)</t>
  </si>
  <si>
    <t>plusz gerendázás, lábak</t>
  </si>
  <si>
    <t>egyszerű lapos acél létra, vagy lépcső burkolatlan, anyagostul, deszkák nélkül, https://auracolor.hu/galeria-lepcsok/</t>
  </si>
  <si>
    <t>látszó fém részek lakkozása, 2 rtg.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</si>
  <si>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</si>
  <si>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karton lebontása, sittelése</t>
  </si>
  <si>
    <t>laminált parketta rakása, szegélyezve</t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</si>
  <si>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</si>
  <si>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t>fürdőszoba csempézés?</t>
  </si>
  <si>
    <t>padló wc-fürdő</t>
  </si>
  <si>
    <t>konyha padló</t>
  </si>
  <si>
    <t>konyha csempe mondjuk</t>
  </si>
  <si>
    <t>fugázás</t>
  </si>
  <si>
    <t>lamináltparketta lerakás</t>
  </si>
  <si>
    <t>wc, padló javítás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</si>
  <si>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</si>
  <si>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általános apró javítás a falakon</t>
  </si>
  <si>
    <r>
      <t xml:space="preserve">glettelés 2 rtg. telibe </t>
    </r>
    <r>
      <rPr>
        <b/>
        <sz val="12"/>
        <color indexed="10"/>
        <rFont val="Arial"/>
        <family val="2"/>
        <charset val="238"/>
      </rPr>
      <t>kétszer</t>
    </r>
  </si>
  <si>
    <t>csiszolás</t>
  </si>
  <si>
    <t>tapadóhídazás</t>
  </si>
  <si>
    <t>festés</t>
  </si>
  <si>
    <t>fleckelés (apró hibák javítása az első festés után)</t>
  </si>
  <si>
    <t>színhatár képzés</t>
  </si>
  <si>
    <t>tapétázás</t>
  </si>
  <si>
    <t>mennyezetek</t>
  </si>
  <si>
    <t>nappali fala</t>
  </si>
  <si>
    <t>konyha-előtér fala</t>
  </si>
  <si>
    <t>wc-fürdő fala</t>
  </si>
  <si>
    <t>fél szoba fala</t>
  </si>
  <si>
    <t>egyenesítés  sarok élek</t>
  </si>
  <si>
    <t>egyenesítés felületsík</t>
  </si>
  <si>
    <t>függőlegesítés</t>
  </si>
  <si>
    <t>Ajtókat cseréljük</t>
  </si>
  <si>
    <t>tok mázolás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</si>
  <si>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</si>
  <si>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élhető 2rtg. mázolás</t>
  </si>
  <si>
    <t>magas mimőségű 3 rtg. Új alapon.</t>
  </si>
  <si>
    <t>cső mázolás</t>
  </si>
  <si>
    <t xml:space="preserve">tervezett összeg </t>
  </si>
  <si>
    <r>
      <t>Víz szerelvényezés, lámpa, Wc, darálós wc, öblírótő tartály, csapok,  szifonok, szaniterek, fali tárgyak (számolható darabok) mondjuk…</t>
    </r>
    <r>
      <rPr>
        <b/>
        <sz val="12"/>
        <rFont val="Arial"/>
        <family val="2"/>
        <charset val="238"/>
      </rPr>
      <t>pontosítani...</t>
    </r>
  </si>
  <si>
    <r>
      <t>Villany szerelvényezés (az összes megszámolható darab, konnektor,  kapcsolók, sarokcsapok, …</t>
    </r>
    <r>
      <rPr>
        <b/>
        <sz val="12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</si>
  <si>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r>
      <t>végső nagy szöszmötölés, kb. 4 nap egy-két ember (</t>
    </r>
    <r>
      <rPr>
        <b/>
        <sz val="12"/>
        <rFont val="Arial"/>
        <family val="2"/>
        <charset val="238"/>
      </rPr>
      <t>kisebb-nagyobb hibák javítása, elmaradások pótlása, tételesen nem szereplő apró feladatok elvégzése.</t>
    </r>
    <r>
      <rPr>
        <sz val="12"/>
        <rFont val="Arial"/>
        <family val="2"/>
        <charset val="238"/>
      </rPr>
      <t>)</t>
    </r>
  </si>
  <si>
    <t>beépített wc beépítése</t>
  </si>
  <si>
    <t>kémény kialakítása Turbó, vagy kondenzációs kazánhoz, csövek hossza</t>
  </si>
  <si>
    <t>egyéb füstgáz elvezetési munkálatokhoz kapcsolódó tevékenységek</t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</si>
  <si>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</si>
  <si>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vízóra csere hitelesíttetés ügyintézése</t>
  </si>
  <si>
    <t>Kazán garanciás beüzemelés intézése</t>
  </si>
  <si>
    <t>Sitt konténerezés vagy zsákolás</t>
  </si>
  <si>
    <r>
      <rPr>
        <b/>
        <sz val="12"/>
        <rFont val="Arial"/>
        <family val="2"/>
        <charset val="238"/>
      </rPr>
      <t>sitt,</t>
    </r>
    <r>
      <rPr>
        <sz val="12"/>
        <rFont val="Arial"/>
        <family val="2"/>
        <charset val="238"/>
      </rPr>
      <t xml:space="preserve"> kihordás, liftezés</t>
    </r>
  </si>
  <si>
    <r>
      <rPr>
        <b/>
        <sz val="12"/>
        <rFont val="Arial"/>
        <family val="2"/>
        <charset val="238"/>
      </rPr>
      <t>sitt kezelés,</t>
    </r>
    <r>
      <rPr>
        <sz val="12"/>
        <rFont val="Arial"/>
        <family val="2"/>
        <charset val="238"/>
      </rPr>
      <t xml:space="preserve"> zsákolás, takarítás</t>
    </r>
  </si>
  <si>
    <t>csiga felépítés, bérlet</t>
  </si>
  <si>
    <t>anyag feltermelés liftezgetve</t>
  </si>
  <si>
    <t>wc mögötti strang bútorlap burkolat kialakítása</t>
  </si>
  <si>
    <t>Jófogáson vett konyha beépítése, közepes bonyolultság mellett</t>
  </si>
  <si>
    <t>padlóváltók beragasztása szilikon anyagostul</t>
  </si>
  <si>
    <t>3 ezret beszéltünk meg Viberen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</si>
  <si>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</si>
  <si>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t>Összesített horonyvágás BETONBA  (utólag látszik, közösen felmérni)</t>
  </si>
  <si>
    <t>Összesített horonyhelyettesítés, SZEGŐLÉC alá  (utólag látszik, közösen felmérni)</t>
  </si>
  <si>
    <t>padló szegélyezés vágott lapokkal</t>
  </si>
  <si>
    <t>repedésmentesítés üvegfátyol felhasználásával</t>
  </si>
  <si>
    <t>parkett szegélyezés</t>
  </si>
  <si>
    <t>festő élvédők</t>
  </si>
  <si>
    <t xml:space="preserve">ragasztott takarás </t>
  </si>
  <si>
    <t xml:space="preserve">több rétegû ragasztott takarás </t>
  </si>
  <si>
    <t>rejtett világítás akna, mélyedés kiképzés, kb.</t>
  </si>
  <si>
    <t xml:space="preserve"> sarok, fal hely restauration</t>
  </si>
  <si>
    <t>csempe élvédõk</t>
  </si>
  <si>
    <t>vakolat leszakadás</t>
  </si>
  <si>
    <t xml:space="preserve"> hálós élvédõ rakása</t>
  </si>
  <si>
    <t>Anyagszükséglet Becslése</t>
  </si>
  <si>
    <t>Kérem, minden számot összegzést Ön is ellemőrizzen, Bármilyen számszaki hiba előfordulhat!</t>
  </si>
  <si>
    <t>tervezett beszerzések</t>
  </si>
  <si>
    <t>várható bruttó anyagköltség összesen:</t>
  </si>
  <si>
    <t>Aktuális beszerzések</t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</si>
  <si>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</si>
  <si>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</si>
  <si>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fontos tudnivalók:</t>
  </si>
  <si>
    <t>http://lakasfelujitasunk.hu/anyagbeszerzes.html</t>
  </si>
  <si>
    <t>Bontás anyagai…</t>
  </si>
  <si>
    <t>egységár</t>
  </si>
  <si>
    <t>mennyiség</t>
  </si>
  <si>
    <t>aktuális beszerzés</t>
  </si>
  <si>
    <t>Hátra van még…</t>
  </si>
  <si>
    <t>sör hegyek a por ellen….:)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</si>
  <si>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</si>
  <si>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tervezett mennyiség</t>
  </si>
  <si>
    <t>Tervezett összeg</t>
  </si>
  <si>
    <t>Aktuális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</si>
  <si>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</si>
  <si>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r>
      <t>vagy csak</t>
    </r>
    <r>
      <rPr>
        <sz val="12"/>
        <color rgb="FFFF0000"/>
        <rFont val="Arial"/>
        <family val="2"/>
        <charset val="238"/>
      </rPr>
      <t xml:space="preserve"> villanyos is létezik felébe kerül Obiban</t>
    </r>
  </si>
  <si>
    <t>kazán áthelyezés hmm.. Idomok megszámolni</t>
  </si>
  <si>
    <t>Regi idomok&gt;???</t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</si>
  <si>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</si>
  <si>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cső</t>
  </si>
  <si>
    <t>idomok</t>
  </si>
  <si>
    <t>sarok és tápcsapokbekötőcsövek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</si>
  <si>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</si>
  <si>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lefolyó csövek</t>
  </si>
  <si>
    <t>lefolyó idomok</t>
  </si>
  <si>
    <t>wc lefolyó idomok</t>
  </si>
  <si>
    <t xml:space="preserve"> ideiglenes víz óra</t>
  </si>
  <si>
    <t xml:space="preserve"> fõcsap</t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</si>
  <si>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</si>
  <si>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>1,5*3 eres kábel konnektorokhoz</t>
  </si>
  <si>
    <t>0,75* 3 eres kábel lámpákhoz</t>
  </si>
  <si>
    <r>
      <t xml:space="preserve">4*3 eres VASTAG kábel fővezeték, konyha, közvetlen </t>
    </r>
    <r>
      <rPr>
        <b/>
        <sz val="12"/>
        <color rgb="FFFF0000"/>
        <rFont val="Arial"/>
        <family val="2"/>
        <charset val="238"/>
      </rPr>
      <t>INDUKCIÓS</t>
    </r>
  </si>
  <si>
    <t>0,75* 2 eres kábel alternatív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</si>
  <si>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</si>
  <si>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r>
      <t xml:space="preserve">csengőhang  </t>
    </r>
    <r>
      <rPr>
        <b/>
        <sz val="12"/>
        <color indexed="10"/>
        <rFont val="Arial"/>
        <family val="2"/>
        <charset val="238"/>
      </rPr>
      <t>?</t>
    </r>
  </si>
  <si>
    <t>alávakolás</t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</si>
  <si>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 xml:space="preserve">? </t>
    </r>
  </si>
  <si>
    <t>biztosíték doboz</t>
  </si>
  <si>
    <t>bontott falhelyek, ajtónyílások javítása</t>
  </si>
  <si>
    <t>aljzat kiegyenlítés a hidegburkolatok alatt</t>
  </si>
  <si>
    <t>aljzat betonozás wc</t>
  </si>
  <si>
    <t>fürdő csempe hely újra vakolása</t>
  </si>
  <si>
    <t>Strang gipszkarton fal kiképzése zöld karton kálóval  http://www.rigips.hu/tervezoknek/anyag_es_arkalkulator/#calculation</t>
  </si>
  <si>
    <t>alávakolás, függőlegesítés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</si>
  <si>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</si>
  <si>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</si>
  <si>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140 mm magas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</si>
  <si>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</si>
  <si>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180 mm magas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</si>
  <si>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</si>
  <si>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200 mm magas</t>
    </r>
  </si>
  <si>
    <r>
      <t xml:space="preserve">lépcső fa lapok, light (fenyő,  </t>
    </r>
    <r>
      <rPr>
        <b/>
        <sz val="12"/>
        <color indexed="10"/>
        <rFont val="Arial"/>
        <family val="2"/>
        <charset val="238"/>
      </rPr>
      <t>keményfa a duplája</t>
    </r>
    <r>
      <rPr>
        <sz val="12"/>
        <rFont val="Arial"/>
        <family val="2"/>
        <charset val="238"/>
      </rPr>
      <t>)</t>
    </r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</si>
  <si>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</si>
  <si>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t>korlát fémszerkezet vasai (átlagos,  egyszerű korlát)</t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</si>
  <si>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</si>
  <si>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</si>
  <si>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alapozó olajtalanító rozsdamaró, alapozó festékek</t>
  </si>
  <si>
    <t>látszó fémrészek lakkfestéke kalapácslakkok</t>
  </si>
  <si>
    <t>Burkolatok anyagai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</si>
  <si>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padló</t>
    </r>
  </si>
  <si>
    <t>padló ragasztó</t>
  </si>
  <si>
    <t>fugák, kb. ha egy szín…, több szín esetén több lesz a káló</t>
  </si>
  <si>
    <t>laminált parkett, aátét szivacs, fólia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</si>
  <si>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csempe</t>
    </r>
  </si>
  <si>
    <t>csempe ragasztó</t>
  </si>
  <si>
    <r>
      <t xml:space="preserve">alu élvédő </t>
    </r>
    <r>
      <rPr>
        <b/>
        <sz val="12"/>
        <color rgb="FF0070C0"/>
        <rFont val="Arial"/>
        <family val="2"/>
        <charset val="238"/>
      </rPr>
      <t>mondjuk...</t>
    </r>
  </si>
  <si>
    <t>zuhanyzó vízszigetelés, kenhető gumi és sarokerősítő</t>
  </si>
  <si>
    <t>parkett lakk</t>
  </si>
  <si>
    <t>Festés anyagai</t>
  </si>
  <si>
    <t>0-3-as fehér glettelőgipsz simításhoz, a festett falakra</t>
  </si>
  <si>
    <t>finom glett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</si>
  <si>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</si>
  <si>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t>festhető akrill tömítő</t>
  </si>
  <si>
    <t>szobafesték, krétaporos Héra minõség, ha színezünk több a káló</t>
  </si>
  <si>
    <t>durva glett durvázáshoz</t>
  </si>
  <si>
    <r>
      <t>szobafesték</t>
    </r>
    <r>
      <rPr>
        <sz val="12"/>
        <rFont val="Arial"/>
        <family val="2"/>
        <charset val="238"/>
      </rPr>
      <t>, Nem krétaporos</t>
    </r>
    <r>
      <rPr>
        <b/>
        <sz val="12"/>
        <rFont val="Arial"/>
        <family val="2"/>
        <charset val="238"/>
      </rPr>
      <t xml:space="preserve"> minõség, színes készfesték pl. Héra prémium</t>
    </r>
  </si>
  <si>
    <t>Tesa szalag</t>
  </si>
  <si>
    <t xml:space="preserve"> SZÍNEZÉK? Készfesték?</t>
  </si>
  <si>
    <t>tapadóhíd</t>
  </si>
  <si>
    <t>tapéta fűrészporos</t>
  </si>
  <si>
    <t>tapéta ragasztó</t>
  </si>
  <si>
    <t>Mázolás anyagai</t>
  </si>
  <si>
    <t xml:space="preserve">alapozó festék, 0,75 literes </t>
  </si>
  <si>
    <t xml:space="preserve">zománc festék, 0,75 literes </t>
  </si>
  <si>
    <t>akrill az ablak szélekhez</t>
  </si>
  <si>
    <t>vasgitt</t>
  </si>
  <si>
    <t>fatapasz</t>
  </si>
  <si>
    <t xml:space="preserve">alapozó festék, 1 literes </t>
  </si>
  <si>
    <t>zománc festék, 1 literes</t>
  </si>
  <si>
    <t>átlagár</t>
  </si>
  <si>
    <t>csapok, konyha, mosdó, kézmosó?</t>
  </si>
  <si>
    <t>mosdó, kézmosó?</t>
  </si>
  <si>
    <t>WC</t>
  </si>
  <si>
    <t>zuhanykabin</t>
  </si>
  <si>
    <t>tükrös szekrény</t>
  </si>
  <si>
    <t>kapcsolók pontosítani, nagyságrendileg</t>
  </si>
  <si>
    <t>konnektorok</t>
  </si>
  <si>
    <t xml:space="preserve">WC tartály </t>
  </si>
  <si>
    <t>bojler</t>
  </si>
  <si>
    <t>alternatív kapcsoló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</si>
  <si>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</si>
  <si>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t>Belső ajtók</t>
  </si>
  <si>
    <t>belső ablakok</t>
  </si>
  <si>
    <t>Füstgáz elvezetés anyagai</t>
  </si>
  <si>
    <t>kémény bélés anyagai</t>
  </si>
  <si>
    <t xml:space="preserve">Cserépkályha kéményajtó </t>
  </si>
  <si>
    <t>Engedélyek, Szakvélemények, Hitelesítések, Illetékek</t>
  </si>
  <si>
    <t>vízóra hitelesítés szerződés</t>
  </si>
  <si>
    <t>Sitt  elszállítás</t>
  </si>
  <si>
    <t>zsákok</t>
  </si>
  <si>
    <t>Kimaradt anyagok</t>
  </si>
  <si>
    <t>padlóváltók fémből</t>
  </si>
  <si>
    <t>wc csőcsonk a beépítéshez</t>
  </si>
  <si>
    <t>szerelőajtó</t>
  </si>
  <si>
    <t>takarópapír, tessa</t>
  </si>
  <si>
    <t>2 cs fuga, 3 szilikon, 2 padlóváltó, 3  szilikon, 3 akril</t>
  </si>
  <si>
    <t>még  egy padlóváltó kell, vagy m gasabb, vagy hosszabb</t>
  </si>
  <si>
    <t>szürke és fehér akril, gáz tömítések</t>
  </si>
  <si>
    <t>Wc dugulás anyagai</t>
  </si>
  <si>
    <t>csap telep csempeváltoztatás anyagai</t>
  </si>
  <si>
    <t>Keletkezni látszó anyagszükségletek</t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</si>
  <si>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</si>
  <si>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vakolat pótlás</t>
  </si>
  <si>
    <r>
      <t>Összesített vakolat pótlás,</t>
    </r>
    <r>
      <rPr>
        <b/>
        <sz val="12"/>
        <color rgb="FF00B050"/>
        <rFont val="Arial"/>
        <family val="2"/>
        <charset val="238"/>
      </rPr>
      <t xml:space="preserve"> fürdő, konyha</t>
    </r>
    <r>
      <rPr>
        <sz val="12"/>
        <rFont val="Arial"/>
        <family val="2"/>
        <charset val="238"/>
      </rPr>
      <t xml:space="preserve">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</si>
  <si>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 xml:space="preserve"> bontott falhelyek</t>
  </si>
  <si>
    <t>aljzatbeton javítások</t>
  </si>
  <si>
    <t>ajtó szegő lécek</t>
  </si>
  <si>
    <t xml:space="preserve"> radiátor ragasztók</t>
  </si>
  <si>
    <t>bojler, wc és egyéb szerelő csavarok</t>
  </si>
  <si>
    <t>takaró papír</t>
  </si>
  <si>
    <t>takaró fóla járható</t>
  </si>
  <si>
    <t>hõtükör radiátor</t>
  </si>
  <si>
    <t>festõ élvédõ</t>
  </si>
  <si>
    <t xml:space="preserve"> vakolat leszakadás</t>
  </si>
  <si>
    <t xml:space="preserve"> hálos élvédõ</t>
  </si>
  <si>
    <t>wc idomok</t>
  </si>
  <si>
    <t>glettelés</t>
  </si>
  <si>
    <t>szoba</t>
  </si>
  <si>
    <t>ablak redőny tok beszigetelés</t>
  </si>
  <si>
    <t>konyha</t>
  </si>
  <si>
    <t>fürdő</t>
  </si>
  <si>
    <t>szőnyeg bontás</t>
  </si>
  <si>
    <t>Karton fal anyagai</t>
  </si>
  <si>
    <t>radiátirok leszerelése, mosása, visszaszerelése</t>
  </si>
  <si>
    <t>ajtónyílások korrektizálása</t>
  </si>
  <si>
    <t>festő élvédők ajtónyílások</t>
  </si>
  <si>
    <t>ablakok</t>
  </si>
  <si>
    <t>ajtó beton vágása</t>
  </si>
  <si>
    <t>aljzat kiegyenlítés a Szobákban</t>
  </si>
  <si>
    <t>biztosítékok</t>
  </si>
  <si>
    <t>gyerekszoba</t>
  </si>
  <si>
    <t>fürdő kapcsoló áthelyezés</t>
  </si>
  <si>
    <t>strang takarítása</t>
  </si>
  <si>
    <t>strang lezárása alul, feül</t>
  </si>
  <si>
    <t>strang kifestése</t>
  </si>
  <si>
    <t>strang mázolása</t>
  </si>
  <si>
    <t>mérőórák áthelyezése</t>
  </si>
  <si>
    <t>strang hangszigetelés alul/felül</t>
  </si>
  <si>
    <t>zuhanyzó vízszigetelés, sarokerősítő</t>
  </si>
  <si>
    <t>klím, és fürdő 6</t>
  </si>
  <si>
    <t>cső mögötti glettelés-festes</t>
  </si>
  <si>
    <t>wc kiépíthetőség biztosítása</t>
  </si>
  <si>
    <t>csengő, fürdő</t>
  </si>
  <si>
    <r>
      <t>új Megszámolható Kiállások, csapok, lefolyók,</t>
    </r>
    <r>
      <rPr>
        <sz val="12"/>
        <color rgb="FFFF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3mosdó, 2mosógép, 3kádzuhany,</t>
    </r>
    <r>
      <rPr>
        <b/>
        <sz val="12"/>
        <rFont val="Arial"/>
        <family val="2"/>
        <charset val="238"/>
      </rPr>
      <t xml:space="preserve"> 2 kádtöltő, 2konyha, 1 wc</t>
    </r>
  </si>
  <si>
    <t>fürdőszoba összesített horonyvágás BETONBA  (utólag látszik, közösen felmérni)</t>
  </si>
  <si>
    <t>padloponozás a laminált parketták alá</t>
  </si>
  <si>
    <t>kád beépítése</t>
  </si>
  <si>
    <t>beépített csap cserélhetővé tétele</t>
  </si>
  <si>
    <t>kád szifon</t>
  </si>
  <si>
    <t>ajtó csere anyagok</t>
  </si>
  <si>
    <t>padlókiegyenlítés a hidegpadlók alatt</t>
  </si>
  <si>
    <t>szilikon</t>
  </si>
  <si>
    <t>strang fémszerkezet</t>
  </si>
  <si>
    <t>OSB lap 18 mm-es méretre vágva</t>
  </si>
  <si>
    <t>fém csempe élvédõk</t>
  </si>
  <si>
    <t>konyhai fal rendbehozatala</t>
  </si>
  <si>
    <t xml:space="preserve">kád előlap kiképzése, </t>
  </si>
  <si>
    <t>kád előlap burkolása</t>
  </si>
  <si>
    <t>konyhai eészívó átirányítása</t>
  </si>
  <si>
    <t xml:space="preserve"> csempe felett festhető fallá varázslása, fürdő strang fent.</t>
  </si>
  <si>
    <t>a két szekrény összeszerelése</t>
  </si>
  <si>
    <t>a két szekrény felszerelése</t>
  </si>
  <si>
    <t>hideg zsíroldó</t>
  </si>
  <si>
    <t>mosdó click és radiátor légtelenítő szelepek</t>
  </si>
  <si>
    <t>lefolyóók vizek bekötéséhez kis anyagok</t>
  </si>
  <si>
    <t>zuhanypanel installálás</t>
  </si>
  <si>
    <t>zuhanyüveg installálás</t>
  </si>
  <si>
    <t>furdőszobai strang csenpe feletti javítása</t>
  </si>
  <si>
    <t xml:space="preserve">szilikon a parketta szegélyhez és csempézéshez </t>
  </si>
  <si>
    <t>Jakab Viktória</t>
  </si>
  <si>
    <t>jakab.viktoria@gmail.com</t>
  </si>
  <si>
    <t>06 70 610 2172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</si>
</sst>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#,##0_@&quot;m2&quot;"/>
    <numFmt numFmtId="166" formatCode="#,##0_@&quot;db&quot;"/>
    <numFmt numFmtId="167" formatCode="#,##0_@&quot;m&quot;"/>
    <numFmt numFmtId="168" formatCode="#,##0.0_@&quot;m2&quot;"/>
    <numFmt numFmtId="169" formatCode="#,##0.00_@&quot;m2&quot;"/>
    <numFmt numFmtId="170" formatCode="#,##0.00_@&quot;m&quot;"/>
    <numFmt numFmtId="171" formatCode="#,##0.0_@&quot;m&quot;"/>
    <numFmt numFmtId="172" formatCode="#,##0_@&quot;m3&quot;"/>
    <numFmt numFmtId="173" formatCode="#,##0_@&quot;zsák&quot;"/>
    <numFmt numFmtId="174" formatCode="#,##0_@&quot;tábla&quot;"/>
    <numFmt numFmtId="175" formatCode="#,##0_@&quot;tekercs&quot;"/>
    <numFmt numFmtId="176" formatCode="#,##0.00_@&quot;cm&quot;"/>
    <numFmt numFmtId="177" formatCode="#,##0_@&quot;liter&quot;"/>
    <numFmt numFmtId="178" formatCode="#,##0_@&quot;kg&quot;"/>
    <numFmt numFmtId="179" formatCode="#,##0_@&quot;Ft/össz.&quot;"/>
    <numFmt numFmtId="180" formatCode="#,##0_@&quot;Ft/zsák&quot;"/>
    <numFmt numFmtId="181" formatCode="#,##0_@&quot;zsák/25 kg&quot;"/>
    <numFmt numFmtId="182" formatCode="#,##0_@&quot;tubus&quot;"/>
    <numFmt numFmtId="183" formatCode="#,##0_@&quot;doboz&quot;"/>
    <numFmt numFmtId="184" formatCode="#,##0.0_@&quot;m3&quot;"/>
    <numFmt numFmtId="185" formatCode="#,##0_@&quot;csomag&quot;"/>
    <numFmt numFmtId="186" formatCode="#,##0_@&quot;tabla&quot;"/>
    <numFmt numFmtId="187" formatCode="#,##0.0_@&quot;zsák/25 kg&quot;"/>
    <numFmt numFmtId="188" formatCode="#,##0_@&quot;munkanap&quot;"/>
    <numFmt numFmtId="189" formatCode="#,##0_@&quot;cm&quot;"/>
    <numFmt numFmtId="190" formatCode="#,##0_@&quot;fok&quot;"/>
    <numFmt numFmtId="191" formatCode="[$-40E]yy/\ mmmm\ d\.;@"/>
    <numFmt numFmtId="192" formatCode="#,##0_@&quot;vödör/5 kg&quot;"/>
    <numFmt numFmtId="193" formatCode="#,##0_@&quot;vödör/10 kg&quot;"/>
    <numFmt numFmtId="194" formatCode="#,##0_@&quot;vödör/16 lit&quot;"/>
    <numFmt numFmtId="195" formatCode="#,##0.0_@&quot;liter&quot;"/>
    <numFmt numFmtId="196" formatCode="#,##0.0_@&quot;db&quot;"/>
    <numFmt numFmtId="197" formatCode="#,##0_@&quot;zacskó/5 kg&quot;"/>
  </numFmts>
  <fonts count="128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b/>
      <sz val="11"/>
      <color indexed="10"/>
      <name val="Arial Narrow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2"/>
      <color indexed="10"/>
      <name val="Arial CE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4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rgb="FF0070C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Arial Black"/>
      <family val="2"/>
      <charset val="238"/>
    </font>
    <font>
      <sz val="11"/>
      <name val="Arial Black"/>
      <family val="2"/>
      <charset val="238"/>
    </font>
    <font>
      <sz val="14"/>
      <color theme="1"/>
      <name val="Arial Black"/>
      <family val="2"/>
      <charset val="238"/>
    </font>
    <font>
      <sz val="20"/>
      <color theme="1"/>
      <name val="Calibri"/>
      <family val="2"/>
      <charset val="238"/>
    </font>
    <font>
      <b/>
      <sz val="14"/>
      <color theme="0"/>
      <name val="Arial Black"/>
      <family val="2"/>
      <charset val="238"/>
    </font>
    <font>
      <b/>
      <sz val="14"/>
      <color rgb="FF3333CC"/>
      <name val="Arial Black"/>
      <family val="2"/>
      <charset val="238"/>
    </font>
    <font>
      <sz val="11"/>
      <color rgb="FF3333CC"/>
      <name val="Calibri"/>
      <family val="2"/>
      <charset val="238"/>
    </font>
    <font>
      <sz val="11"/>
      <color rgb="FF3333CC"/>
      <name val="Arial Black"/>
      <family val="2"/>
      <charset val="238"/>
    </font>
    <font>
      <sz val="14"/>
      <color rgb="FF3333CC"/>
      <name val="Arial Black"/>
      <family val="2"/>
      <charset val="238"/>
    </font>
    <font>
      <sz val="12"/>
      <color rgb="FF3333CC"/>
      <name val="Arial"/>
      <family val="2"/>
      <charset val="238"/>
    </font>
    <font>
      <sz val="14"/>
      <color theme="0"/>
      <name val="Arial Black"/>
      <family val="2"/>
      <charset val="238"/>
    </font>
    <font>
      <sz val="11"/>
      <color rgb="FFFF0000"/>
      <name val="Arial Black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FFFF00"/>
      <name val="Arial Black"/>
      <family val="2"/>
      <charset val="238"/>
    </font>
    <font>
      <sz val="11"/>
      <color rgb="FFFFFF00"/>
      <name val="Calibri"/>
      <family val="2"/>
      <charset val="238"/>
    </font>
    <font>
      <sz val="14"/>
      <color rgb="FFFFFF00"/>
      <name val="Arial Black"/>
      <family val="2"/>
      <charset val="238"/>
    </font>
    <font>
      <b/>
      <sz val="11"/>
      <color rgb="FFFFFF00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8FB3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87999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595E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48" fillId="3" borderId="0" applyNumberFormat="0" applyBorder="0" applyAlignment="0" applyProtection="0"/>
    <xf numFmtId="0" fontId="50" fillId="20" borderId="1" applyNumberFormat="0" applyAlignment="0" applyProtection="0"/>
    <xf numFmtId="0" fontId="65" fillId="21" borderId="2" applyNumberFormat="0" applyAlignment="0" applyProtection="0"/>
    <xf numFmtId="43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43" fillId="0" borderId="6" applyNumberFormat="0" applyFill="0" applyAlignment="0" applyProtection="0"/>
    <xf numFmtId="0" fontId="49" fillId="22" borderId="0" applyNumberFormat="0" applyBorder="0" applyAlignment="0" applyProtection="0"/>
    <xf numFmtId="0" fontId="7" fillId="23" borderId="7" applyNumberFormat="0" applyFont="0" applyAlignment="0" applyProtection="0"/>
    <xf numFmtId="0" fontId="45" fillId="20" borderId="8" applyNumberFormat="0" applyAlignment="0" applyProtection="0"/>
    <xf numFmtId="0" fontId="37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35" fillId="19" borderId="0" applyNumberFormat="0" applyBorder="0" applyAlignment="0" applyProtection="0"/>
    <xf numFmtId="0" fontId="35" fillId="15" borderId="0" applyNumberFormat="0" applyBorder="0" applyAlignment="0" applyProtection="0"/>
    <xf numFmtId="9" fontId="7" fillId="0" borderId="0" applyFont="0" applyFill="0" applyBorder="0" applyAlignment="0" applyProtection="0"/>
  </cellStyleXfs>
  <cellXfs count="605">
    <xf numFmtId="0" fontId="0" fillId="0" borderId="0" xfId="0"/>
    <xf numFmtId="3" fontId="4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Font="1" applyBorder="1" applyAlignment="1" applyProtection="1">
      <alignment wrapText="1"/>
      <protection locked="0"/>
    </xf>
    <xf numFmtId="0" fontId="5" fillId="24" borderId="0" xfId="0" applyFont="1" applyFill="1" applyAlignment="1" applyProtection="1">
      <alignment horizontal="right"/>
      <protection locked="0"/>
    </xf>
    <xf numFmtId="0" fontId="5" fillId="24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horizontal="center"/>
    </xf>
    <xf numFmtId="3" fontId="1" fillId="0" borderId="0" xfId="0" applyNumberFormat="1" applyFont="1" applyProtection="1">
      <protection locked="0"/>
    </xf>
    <xf numFmtId="3" fontId="1" fillId="0" borderId="12" xfId="0" applyNumberFormat="1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3" fontId="1" fillId="0" borderId="13" xfId="0" applyNumberFormat="1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5" fillId="0" borderId="0" xfId="0" applyNumberFormat="1" applyFont="1"/>
    <xf numFmtId="3" fontId="4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wrapText="1"/>
      <protection locked="0"/>
    </xf>
    <xf numFmtId="3" fontId="10" fillId="0" borderId="0" xfId="0" applyNumberFormat="1" applyFont="1"/>
    <xf numFmtId="164" fontId="17" fillId="0" borderId="0" xfId="28" applyNumberFormat="1" applyFont="1" applyFill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164" fontId="5" fillId="0" borderId="15" xfId="28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6" xfId="28" applyNumberFormat="1" applyFont="1" applyFill="1" applyBorder="1" applyAlignment="1">
      <alignment horizontal="center"/>
    </xf>
    <xf numFmtId="180" fontId="1" fillId="0" borderId="17" xfId="0" applyNumberFormat="1" applyFont="1" applyBorder="1" applyAlignment="1">
      <alignment horizontal="center"/>
    </xf>
    <xf numFmtId="176" fontId="4" fillId="0" borderId="18" xfId="0" applyNumberFormat="1" applyFont="1" applyBorder="1" applyAlignment="1">
      <alignment horizontal="center"/>
    </xf>
    <xf numFmtId="177" fontId="1" fillId="0" borderId="18" xfId="0" applyNumberFormat="1" applyFont="1" applyBorder="1" applyAlignment="1">
      <alignment horizontal="center"/>
    </xf>
    <xf numFmtId="178" fontId="1" fillId="0" borderId="18" xfId="0" applyNumberFormat="1" applyFont="1" applyBorder="1" applyAlignment="1">
      <alignment horizontal="center"/>
    </xf>
    <xf numFmtId="179" fontId="4" fillId="0" borderId="19" xfId="0" applyNumberFormat="1" applyFont="1" applyBorder="1" applyAlignment="1">
      <alignment horizontal="center"/>
    </xf>
    <xf numFmtId="168" fontId="4" fillId="0" borderId="10" xfId="0" applyNumberFormat="1" applyFont="1" applyBorder="1" applyAlignment="1">
      <alignment horizontal="center"/>
    </xf>
    <xf numFmtId="181" fontId="1" fillId="0" borderId="1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 applyProtection="1">
      <alignment wrapText="1"/>
      <protection locked="0"/>
    </xf>
    <xf numFmtId="0" fontId="33" fillId="0" borderId="0" xfId="0" applyFont="1" applyAlignment="1">
      <alignment wrapText="1"/>
    </xf>
    <xf numFmtId="164" fontId="0" fillId="0" borderId="0" xfId="28" applyNumberFormat="1" applyFont="1"/>
    <xf numFmtId="0" fontId="51" fillId="0" borderId="0" xfId="0" applyFont="1" applyAlignment="1">
      <alignment vertical="center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4" fillId="25" borderId="2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21" xfId="0" applyNumberFormat="1" applyFont="1" applyBorder="1" applyAlignment="1" applyProtection="1">
      <alignment horizontal="right" wrapText="1"/>
      <protection locked="0"/>
    </xf>
    <xf numFmtId="0" fontId="24" fillId="0" borderId="12" xfId="0" applyFont="1" applyBorder="1" applyAlignment="1" applyProtection="1">
      <alignment wrapText="1"/>
      <protection locked="0"/>
    </xf>
    <xf numFmtId="0" fontId="57" fillId="0" borderId="0" xfId="35" applyFont="1" applyBorder="1" applyAlignment="1" applyProtection="1">
      <alignment horizontal="center" vertical="top" wrapText="1"/>
    </xf>
    <xf numFmtId="0" fontId="67" fillId="0" borderId="0" xfId="0" applyFont="1"/>
    <xf numFmtId="0" fontId="32" fillId="0" borderId="0" xfId="0" applyFont="1" applyAlignment="1">
      <alignment vertical="center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right" vertical="center" wrapText="1"/>
      <protection locked="0"/>
    </xf>
    <xf numFmtId="3" fontId="1" fillId="0" borderId="23" xfId="0" applyNumberFormat="1" applyFont="1" applyBorder="1" applyAlignment="1" applyProtection="1">
      <alignment vertical="center"/>
      <protection locked="0"/>
    </xf>
    <xf numFmtId="3" fontId="1" fillId="0" borderId="19" xfId="0" applyNumberFormat="1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wrapText="1"/>
      <protection locked="0"/>
    </xf>
    <xf numFmtId="0" fontId="51" fillId="0" borderId="0" xfId="0" applyFont="1" applyAlignment="1">
      <alignment vertical="center" wrapText="1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vertical="center"/>
      <protection locked="0"/>
    </xf>
    <xf numFmtId="164" fontId="5" fillId="0" borderId="15" xfId="28" applyNumberFormat="1" applyFont="1" applyFill="1" applyBorder="1" applyAlignment="1">
      <alignment horizont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wrapText="1"/>
      <protection locked="0"/>
    </xf>
    <xf numFmtId="3" fontId="1" fillId="0" borderId="29" xfId="0" applyNumberFormat="1" applyFont="1" applyBorder="1" applyProtection="1">
      <protection locked="0"/>
    </xf>
    <xf numFmtId="0" fontId="0" fillId="0" borderId="12" xfId="0" applyBorder="1"/>
    <xf numFmtId="0" fontId="53" fillId="0" borderId="0" xfId="0" applyFont="1" applyAlignment="1">
      <alignment vertical="center"/>
    </xf>
    <xf numFmtId="3" fontId="32" fillId="0" borderId="0" xfId="0" applyNumberFormat="1" applyFont="1" applyAlignment="1" applyProtection="1">
      <alignment horizontal="center" wrapText="1"/>
      <protection locked="0"/>
    </xf>
    <xf numFmtId="3" fontId="31" fillId="0" borderId="2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70" fillId="0" borderId="0" xfId="0" applyFont="1" applyAlignment="1" applyProtection="1">
      <alignment horizont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28" applyNumberFormat="1" applyFont="1" applyFill="1" applyBorder="1" applyAlignment="1">
      <alignment horizontal="center" vertical="center"/>
    </xf>
    <xf numFmtId="180" fontId="1" fillId="0" borderId="12" xfId="0" applyNumberFormat="1" applyFont="1" applyBorder="1" applyAlignment="1">
      <alignment horizontal="center" vertical="center"/>
    </xf>
    <xf numFmtId="168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81" fontId="1" fillId="0" borderId="12" xfId="0" applyNumberFormat="1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center"/>
    </xf>
    <xf numFmtId="166" fontId="70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9" fontId="70" fillId="0" borderId="1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53" fillId="0" borderId="31" xfId="0" applyFont="1" applyBorder="1" applyAlignment="1">
      <alignment vertical="center" wrapText="1"/>
    </xf>
    <xf numFmtId="184" fontId="53" fillId="0" borderId="32" xfId="0" applyNumberFormat="1" applyFont="1" applyBorder="1" applyAlignment="1">
      <alignment vertical="center"/>
    </xf>
    <xf numFmtId="166" fontId="70" fillId="0" borderId="12" xfId="0" applyNumberFormat="1" applyFont="1" applyBorder="1" applyAlignment="1">
      <alignment horizontal="center" vertical="center"/>
    </xf>
    <xf numFmtId="184" fontId="53" fillId="0" borderId="0" xfId="0" applyNumberFormat="1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6" xfId="28" applyNumberFormat="1" applyFont="1" applyFill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81" fontId="1" fillId="0" borderId="18" xfId="0" applyNumberFormat="1" applyFont="1" applyBorder="1" applyAlignment="1">
      <alignment horizontal="center" vertical="center"/>
    </xf>
    <xf numFmtId="3" fontId="70" fillId="0" borderId="0" xfId="0" applyNumberFormat="1" applyFont="1" applyAlignment="1" applyProtection="1">
      <alignment horizontal="center" vertical="center"/>
      <protection locked="0"/>
    </xf>
    <xf numFmtId="3" fontId="5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66" fontId="70" fillId="0" borderId="13" xfId="0" applyNumberFormat="1" applyFont="1" applyBorder="1" applyAlignment="1">
      <alignment horizontal="center" vertical="center"/>
    </xf>
    <xf numFmtId="169" fontId="70" fillId="0" borderId="13" xfId="0" applyNumberFormat="1" applyFont="1" applyBorder="1" applyAlignment="1">
      <alignment horizontal="center" vertical="center"/>
    </xf>
    <xf numFmtId="168" fontId="70" fillId="0" borderId="13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textRotation="255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68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7" fontId="70" fillId="0" borderId="13" xfId="0" applyNumberFormat="1" applyFont="1" applyBorder="1" applyAlignment="1">
      <alignment horizontal="center" vertical="center"/>
    </xf>
    <xf numFmtId="168" fontId="70" fillId="0" borderId="12" xfId="0" applyNumberFormat="1" applyFont="1" applyBorder="1" applyAlignment="1">
      <alignment horizontal="center" vertical="center"/>
    </xf>
    <xf numFmtId="167" fontId="70" fillId="0" borderId="12" xfId="0" applyNumberFormat="1" applyFont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3" fillId="27" borderId="0" xfId="0" applyFont="1" applyFill="1" applyAlignment="1">
      <alignment vertical="center"/>
    </xf>
    <xf numFmtId="0" fontId="51" fillId="27" borderId="0" xfId="0" applyFont="1" applyFill="1" applyAlignment="1">
      <alignment vertical="center"/>
    </xf>
    <xf numFmtId="0" fontId="28" fillId="27" borderId="0" xfId="0" applyFont="1" applyFill="1" applyAlignment="1" applyProtection="1">
      <alignment vertical="center"/>
      <protection locked="0"/>
    </xf>
    <xf numFmtId="3" fontId="69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0" fontId="41" fillId="27" borderId="0" xfId="0" applyFont="1" applyFill="1" applyAlignment="1">
      <alignment vertical="center"/>
    </xf>
    <xf numFmtId="0" fontId="4" fillId="27" borderId="0" xfId="0" applyFont="1" applyFill="1" applyAlignment="1" applyProtection="1">
      <alignment horizontal="center"/>
      <protection locked="0"/>
    </xf>
    <xf numFmtId="3" fontId="1" fillId="27" borderId="0" xfId="0" applyNumberFormat="1" applyFont="1" applyFill="1" applyProtection="1">
      <protection locked="0"/>
    </xf>
    <xf numFmtId="0" fontId="70" fillId="27" borderId="0" xfId="0" applyFont="1" applyFill="1" applyAlignment="1" applyProtection="1">
      <alignment horizontal="center" wrapText="1"/>
      <protection locked="0"/>
    </xf>
    <xf numFmtId="9" fontId="4" fillId="27" borderId="0" xfId="0" applyNumberFormat="1" applyFont="1" applyFill="1" applyAlignment="1" applyProtection="1">
      <alignment horizontal="center" wrapText="1"/>
      <protection locked="0"/>
    </xf>
    <xf numFmtId="3" fontId="79" fillId="0" borderId="22" xfId="0" applyNumberFormat="1" applyFont="1" applyBorder="1" applyAlignment="1" applyProtection="1">
      <alignment horizontal="center" vertical="center"/>
      <protection locked="0"/>
    </xf>
    <xf numFmtId="3" fontId="78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78" fillId="0" borderId="0" xfId="0" applyFont="1" applyAlignment="1">
      <alignment vertical="center"/>
    </xf>
    <xf numFmtId="165" fontId="70" fillId="0" borderId="12" xfId="0" applyNumberFormat="1" applyFont="1" applyBorder="1" applyAlignment="1" applyProtection="1">
      <alignment horizontal="center" vertical="center"/>
      <protection locked="0"/>
    </xf>
    <xf numFmtId="165" fontId="70" fillId="0" borderId="13" xfId="0" applyNumberFormat="1" applyFont="1" applyBorder="1" applyAlignment="1">
      <alignment horizontal="center" vertical="center"/>
    </xf>
    <xf numFmtId="0" fontId="54" fillId="0" borderId="0" xfId="0" applyFont="1"/>
    <xf numFmtId="0" fontId="53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/>
      <protection locked="0"/>
    </xf>
    <xf numFmtId="0" fontId="53" fillId="0" borderId="12" xfId="0" applyFont="1" applyBorder="1" applyAlignment="1">
      <alignment vertical="center"/>
    </xf>
    <xf numFmtId="169" fontId="53" fillId="0" borderId="0" xfId="0" applyNumberFormat="1" applyFont="1" applyAlignment="1" applyProtection="1">
      <alignment vertical="center"/>
      <protection locked="0"/>
    </xf>
    <xf numFmtId="0" fontId="53" fillId="0" borderId="26" xfId="0" applyFont="1" applyBorder="1" applyAlignment="1" applyProtection="1">
      <alignment horizontal="center" vertical="center"/>
      <protection locked="0"/>
    </xf>
    <xf numFmtId="4" fontId="70" fillId="0" borderId="0" xfId="0" applyNumberFormat="1" applyFont="1" applyAlignment="1" applyProtection="1">
      <alignment horizontal="center" vertical="center"/>
      <protection locked="0"/>
    </xf>
    <xf numFmtId="4" fontId="70" fillId="0" borderId="12" xfId="0" applyNumberFormat="1" applyFont="1" applyBorder="1" applyAlignment="1" applyProtection="1">
      <alignment horizontal="center" vertical="center"/>
      <protection locked="0"/>
    </xf>
    <xf numFmtId="172" fontId="70" fillId="0" borderId="12" xfId="0" applyNumberFormat="1" applyFont="1" applyBorder="1" applyAlignment="1">
      <alignment horizontal="center" vertical="center"/>
    </xf>
    <xf numFmtId="165" fontId="70" fillId="0" borderId="12" xfId="0" applyNumberFormat="1" applyFont="1" applyBorder="1" applyAlignment="1">
      <alignment horizontal="center" vertical="center"/>
    </xf>
    <xf numFmtId="3" fontId="70" fillId="0" borderId="12" xfId="0" applyNumberFormat="1" applyFont="1" applyBorder="1" applyAlignment="1" applyProtection="1">
      <alignment horizontal="center" vertical="center"/>
      <protection locked="0"/>
    </xf>
    <xf numFmtId="168" fontId="70" fillId="0" borderId="12" xfId="0" applyNumberFormat="1" applyFont="1" applyBorder="1" applyAlignment="1" applyProtection="1">
      <alignment horizontal="center" vertical="center"/>
      <protection locked="0"/>
    </xf>
    <xf numFmtId="0" fontId="0" fillId="28" borderId="0" xfId="0" applyFill="1"/>
    <xf numFmtId="0" fontId="1" fillId="27" borderId="13" xfId="0" applyFont="1" applyFill="1" applyBorder="1" applyAlignment="1" applyProtection="1">
      <alignment vertical="center" wrapText="1"/>
      <protection locked="0"/>
    </xf>
    <xf numFmtId="3" fontId="1" fillId="27" borderId="13" xfId="0" applyNumberFormat="1" applyFont="1" applyFill="1" applyBorder="1" applyAlignment="1" applyProtection="1">
      <alignment vertical="center"/>
      <protection locked="0"/>
    </xf>
    <xf numFmtId="0" fontId="1" fillId="27" borderId="12" xfId="0" applyFont="1" applyFill="1" applyBorder="1" applyAlignment="1" applyProtection="1">
      <alignment vertical="center" wrapText="1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69" fontId="4" fillId="0" borderId="12" xfId="0" applyNumberFormat="1" applyFont="1" applyBorder="1" applyAlignment="1">
      <alignment horizontal="center" vertical="center"/>
    </xf>
    <xf numFmtId="9" fontId="4" fillId="0" borderId="0" xfId="0" applyNumberFormat="1" applyFont="1" applyAlignment="1" applyProtection="1">
      <alignment horizontal="center" wrapText="1"/>
      <protection locked="0"/>
    </xf>
    <xf numFmtId="167" fontId="70" fillId="0" borderId="12" xfId="0" applyNumberFormat="1" applyFont="1" applyBorder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left" wrapText="1"/>
      <protection locked="0"/>
    </xf>
    <xf numFmtId="0" fontId="30" fillId="27" borderId="0" xfId="0" applyFont="1" applyFill="1" applyAlignment="1">
      <alignment vertical="center" wrapText="1"/>
    </xf>
    <xf numFmtId="0" fontId="42" fillId="27" borderId="0" xfId="35" applyFill="1" applyAlignment="1" applyProtection="1">
      <alignment vertical="center"/>
    </xf>
    <xf numFmtId="170" fontId="70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0" xfId="28" applyNumberFormat="1" applyFont="1" applyFill="1" applyBorder="1" applyAlignment="1">
      <alignment wrapText="1"/>
    </xf>
    <xf numFmtId="0" fontId="1" fillId="0" borderId="35" xfId="0" applyFont="1" applyBorder="1" applyAlignment="1" applyProtection="1">
      <alignment wrapText="1"/>
      <protection locked="0"/>
    </xf>
    <xf numFmtId="0" fontId="82" fillId="0" borderId="0" xfId="0" applyFont="1" applyAlignment="1">
      <alignment horizontal="right"/>
    </xf>
    <xf numFmtId="0" fontId="83" fillId="0" borderId="0" xfId="0" applyFont="1" applyAlignment="1">
      <alignment horizontal="right"/>
    </xf>
    <xf numFmtId="0" fontId="82" fillId="0" borderId="0" xfId="0" applyFont="1" applyAlignment="1">
      <alignment horizontal="left" wrapText="1"/>
    </xf>
    <xf numFmtId="3" fontId="84" fillId="0" borderId="0" xfId="0" applyNumberFormat="1" applyFont="1"/>
    <xf numFmtId="3" fontId="84" fillId="0" borderId="0" xfId="0" applyNumberFormat="1" applyFont="1" applyAlignment="1">
      <alignment vertical="center"/>
    </xf>
    <xf numFmtId="0" fontId="82" fillId="0" borderId="0" xfId="0" applyFont="1" applyAlignment="1">
      <alignment horizontal="right" vertical="center"/>
    </xf>
    <xf numFmtId="176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3" fontId="24" fillId="0" borderId="14" xfId="0" applyNumberFormat="1" applyFont="1" applyBorder="1" applyAlignment="1" applyProtection="1">
      <alignment horizontal="center" vertical="center"/>
      <protection locked="0"/>
    </xf>
    <xf numFmtId="165" fontId="76" fillId="0" borderId="10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 applyProtection="1">
      <alignment vertical="center"/>
      <protection locked="0"/>
    </xf>
    <xf numFmtId="0" fontId="14" fillId="28" borderId="12" xfId="0" applyFont="1" applyFill="1" applyBorder="1" applyAlignment="1" applyProtection="1">
      <alignment vertical="center" wrapText="1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84" fillId="28" borderId="0" xfId="0" applyNumberFormat="1" applyFont="1" applyFill="1" applyAlignment="1">
      <alignment vertical="center"/>
    </xf>
    <xf numFmtId="0" fontId="14" fillId="28" borderId="13" xfId="0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3" fontId="4" fillId="28" borderId="0" xfId="0" applyNumberFormat="1" applyFont="1" applyFill="1" applyAlignment="1">
      <alignment horizontal="center" vertical="center"/>
    </xf>
    <xf numFmtId="3" fontId="25" fillId="28" borderId="0" xfId="0" applyNumberFormat="1" applyFont="1" applyFill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72" fillId="0" borderId="0" xfId="0" applyFont="1"/>
    <xf numFmtId="3" fontId="4" fillId="0" borderId="37" xfId="0" applyNumberFormat="1" applyFont="1" applyBorder="1" applyAlignment="1">
      <alignment horizontal="right" vertical="center"/>
    </xf>
    <xf numFmtId="3" fontId="27" fillId="25" borderId="38" xfId="0" applyNumberFormat="1" applyFont="1" applyFill="1" applyBorder="1" applyAlignment="1">
      <alignment vertical="center"/>
    </xf>
    <xf numFmtId="0" fontId="42" fillId="0" borderId="0" xfId="35" applyBorder="1" applyAlignment="1" applyProtection="1">
      <alignment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3" fontId="27" fillId="25" borderId="41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73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/>
    </xf>
    <xf numFmtId="0" fontId="86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4" fillId="24" borderId="0" xfId="0" applyFont="1" applyFill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0" fillId="29" borderId="0" xfId="0" applyFill="1" applyAlignment="1">
      <alignment horizontal="left"/>
    </xf>
    <xf numFmtId="0" fontId="67" fillId="29" borderId="0" xfId="0" applyFont="1" applyFill="1" applyAlignment="1">
      <alignment horizontal="left"/>
    </xf>
    <xf numFmtId="0" fontId="0" fillId="29" borderId="0" xfId="0" applyFill="1" applyAlignment="1">
      <alignment horizontal="right"/>
    </xf>
    <xf numFmtId="0" fontId="8" fillId="29" borderId="0" xfId="0" applyFont="1" applyFill="1" applyAlignment="1">
      <alignment horizontal="center"/>
    </xf>
    <xf numFmtId="0" fontId="0" fillId="29" borderId="0" xfId="0" applyFill="1" applyAlignment="1">
      <alignment horizontal="right" vertical="center"/>
    </xf>
    <xf numFmtId="169" fontId="70" fillId="29" borderId="12" xfId="0" applyNumberFormat="1" applyFont="1" applyFill="1" applyBorder="1" applyAlignment="1">
      <alignment horizontal="center" vertical="center"/>
    </xf>
    <xf numFmtId="0" fontId="0" fillId="29" borderId="0" xfId="0" applyFill="1" applyAlignment="1">
      <alignment horizontal="left" vertical="center"/>
    </xf>
    <xf numFmtId="0" fontId="8" fillId="29" borderId="0" xfId="0" applyFont="1" applyFill="1" applyAlignment="1">
      <alignment horizontal="center" vertical="center"/>
    </xf>
    <xf numFmtId="3" fontId="88" fillId="30" borderId="0" xfId="0" applyNumberFormat="1" applyFont="1" applyFill="1"/>
    <xf numFmtId="0" fontId="87" fillId="0" borderId="0" xfId="0" applyFont="1" applyAlignment="1">
      <alignment wrapText="1"/>
    </xf>
    <xf numFmtId="3" fontId="84" fillId="0" borderId="0" xfId="0" applyNumberFormat="1" applyFont="1" applyAlignment="1">
      <alignment horizontal="left" vertical="center"/>
    </xf>
    <xf numFmtId="0" fontId="29" fillId="29" borderId="0" xfId="0" applyFont="1" applyFill="1" applyAlignment="1">
      <alignment vertical="center"/>
    </xf>
    <xf numFmtId="0" fontId="53" fillId="29" borderId="0" xfId="0" applyFont="1" applyFill="1" applyAlignment="1" applyProtection="1">
      <alignment vertical="center" wrapText="1"/>
      <protection locked="0"/>
    </xf>
    <xf numFmtId="164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27" borderId="0" xfId="0" applyFont="1" applyFill="1" applyAlignment="1">
      <alignment vertical="center" wrapText="1"/>
    </xf>
    <xf numFmtId="0" fontId="75" fillId="27" borderId="0" xfId="0" applyFont="1" applyFill="1" applyAlignment="1">
      <alignment vertical="center" wrapText="1"/>
    </xf>
    <xf numFmtId="172" fontId="90" fillId="0" borderId="0" xfId="0" applyNumberFormat="1" applyFont="1" applyAlignment="1">
      <alignment vertical="center"/>
    </xf>
    <xf numFmtId="188" fontId="70" fillId="0" borderId="12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187" fontId="1" fillId="0" borderId="18" xfId="0" applyNumberFormat="1" applyFont="1" applyBorder="1" applyAlignment="1">
      <alignment horizontal="center"/>
    </xf>
    <xf numFmtId="4" fontId="53" fillId="0" borderId="0" xfId="0" applyNumberFormat="1" applyFont="1" applyAlignment="1" applyProtection="1">
      <alignment vertical="center" wrapText="1"/>
      <protection locked="0"/>
    </xf>
    <xf numFmtId="0" fontId="73" fillId="28" borderId="12" xfId="0" applyFont="1" applyFill="1" applyBorder="1" applyAlignment="1">
      <alignment horizontal="left" vertical="center" wrapText="1"/>
    </xf>
    <xf numFmtId="0" fontId="1" fillId="31" borderId="12" xfId="0" applyFont="1" applyFill="1" applyBorder="1" applyAlignment="1" applyProtection="1">
      <alignment vertical="center" wrapText="1"/>
      <protection locked="0"/>
    </xf>
    <xf numFmtId="3" fontId="1" fillId="31" borderId="12" xfId="0" applyNumberFormat="1" applyFont="1" applyFill="1" applyBorder="1" applyAlignment="1" applyProtection="1">
      <alignment vertical="center"/>
      <protection locked="0"/>
    </xf>
    <xf numFmtId="3" fontId="1" fillId="31" borderId="13" xfId="0" applyNumberFormat="1" applyFont="1" applyFill="1" applyBorder="1" applyAlignment="1" applyProtection="1">
      <alignment vertical="center"/>
      <protection locked="0"/>
    </xf>
    <xf numFmtId="3" fontId="84" fillId="31" borderId="0" xfId="0" applyNumberFormat="1" applyFont="1" applyFill="1"/>
    <xf numFmtId="0" fontId="0" fillId="31" borderId="0" xfId="0" applyFill="1"/>
    <xf numFmtId="0" fontId="95" fillId="31" borderId="0" xfId="0" applyFont="1" applyFill="1"/>
    <xf numFmtId="3" fontId="0" fillId="31" borderId="0" xfId="0" applyNumberFormat="1" applyFill="1"/>
    <xf numFmtId="0" fontId="3" fillId="0" borderId="48" xfId="0" applyFont="1" applyBorder="1" applyAlignment="1">
      <alignment horizontal="center"/>
    </xf>
    <xf numFmtId="164" fontId="91" fillId="0" borderId="48" xfId="0" applyNumberFormat="1" applyFont="1" applyBorder="1" applyAlignment="1">
      <alignment horizontal="center" vertical="center"/>
    </xf>
    <xf numFmtId="191" fontId="0" fillId="0" borderId="0" xfId="0" applyNumberFormat="1"/>
    <xf numFmtId="172" fontId="70" fillId="0" borderId="13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vertical="center" wrapText="1"/>
    </xf>
    <xf numFmtId="0" fontId="99" fillId="0" borderId="0" xfId="0" applyFont="1" applyAlignment="1">
      <alignment vertical="center"/>
    </xf>
    <xf numFmtId="0" fontId="0" fillId="32" borderId="0" xfId="0" applyFill="1"/>
    <xf numFmtId="168" fontId="4" fillId="32" borderId="10" xfId="0" applyNumberFormat="1" applyFont="1" applyFill="1" applyBorder="1" applyAlignment="1">
      <alignment horizontal="center"/>
    </xf>
    <xf numFmtId="176" fontId="4" fillId="32" borderId="18" xfId="0" applyNumberFormat="1" applyFont="1" applyFill="1" applyBorder="1" applyAlignment="1">
      <alignment horizontal="center"/>
    </xf>
    <xf numFmtId="177" fontId="1" fillId="32" borderId="18" xfId="0" applyNumberFormat="1" applyFont="1" applyFill="1" applyBorder="1" applyAlignment="1">
      <alignment horizontal="center"/>
    </xf>
    <xf numFmtId="178" fontId="1" fillId="32" borderId="18" xfId="0" applyNumberFormat="1" applyFont="1" applyFill="1" applyBorder="1" applyAlignment="1">
      <alignment horizontal="center"/>
    </xf>
    <xf numFmtId="181" fontId="1" fillId="32" borderId="18" xfId="0" applyNumberFormat="1" applyFont="1" applyFill="1" applyBorder="1" applyAlignment="1">
      <alignment horizontal="center"/>
    </xf>
    <xf numFmtId="179" fontId="4" fillId="32" borderId="19" xfId="0" applyNumberFormat="1" applyFont="1" applyFill="1" applyBorder="1" applyAlignment="1">
      <alignment horizontal="center"/>
    </xf>
    <xf numFmtId="171" fontId="70" fillId="0" borderId="12" xfId="0" applyNumberFormat="1" applyFont="1" applyBorder="1" applyAlignment="1">
      <alignment horizontal="center" vertical="center"/>
    </xf>
    <xf numFmtId="0" fontId="102" fillId="0" borderId="0" xfId="0" applyFont="1" applyAlignment="1">
      <alignment vertical="center"/>
    </xf>
    <xf numFmtId="170" fontId="4" fillId="0" borderId="34" xfId="0" applyNumberFormat="1" applyFont="1" applyBorder="1" applyAlignment="1">
      <alignment horizontal="center" vertical="center"/>
    </xf>
    <xf numFmtId="189" fontId="85" fillId="0" borderId="44" xfId="0" applyNumberFormat="1" applyFont="1" applyBorder="1" applyAlignment="1">
      <alignment horizontal="center" vertical="center"/>
    </xf>
    <xf numFmtId="184" fontId="4" fillId="0" borderId="19" xfId="0" applyNumberFormat="1" applyFont="1" applyBorder="1" applyAlignment="1">
      <alignment horizontal="center" vertical="center"/>
    </xf>
    <xf numFmtId="164" fontId="5" fillId="0" borderId="20" xfId="28" applyNumberFormat="1" applyFont="1" applyFill="1" applyBorder="1" applyAlignment="1">
      <alignment horizontal="center" vertical="center" wrapText="1"/>
    </xf>
    <xf numFmtId="0" fontId="100" fillId="0" borderId="12" xfId="0" applyFont="1" applyBorder="1" applyAlignment="1" applyProtection="1">
      <alignment vertical="center" wrapText="1"/>
      <protection locked="0"/>
    </xf>
    <xf numFmtId="190" fontId="70" fillId="0" borderId="12" xfId="0" applyNumberFormat="1" applyFont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98" fillId="29" borderId="0" xfId="0" applyFont="1" applyFill="1" applyAlignment="1">
      <alignment vertical="center"/>
    </xf>
    <xf numFmtId="3" fontId="101" fillId="0" borderId="13" xfId="0" applyNumberFormat="1" applyFont="1" applyBorder="1" applyAlignment="1" applyProtection="1">
      <alignment horizontal="center" vertical="center"/>
      <protection locked="0"/>
    </xf>
    <xf numFmtId="0" fontId="103" fillId="27" borderId="0" xfId="0" applyFont="1" applyFill="1" applyAlignment="1">
      <alignment horizontal="left" vertical="center"/>
    </xf>
    <xf numFmtId="3" fontId="103" fillId="27" borderId="0" xfId="0" applyNumberFormat="1" applyFont="1" applyFill="1" applyAlignment="1">
      <alignment horizontal="left" vertical="center"/>
    </xf>
    <xf numFmtId="0" fontId="103" fillId="0" borderId="0" xfId="0" applyFont="1" applyAlignment="1">
      <alignment horizontal="left" vertical="center"/>
    </xf>
    <xf numFmtId="3" fontId="103" fillId="0" borderId="0" xfId="0" applyNumberFormat="1" applyFont="1" applyAlignment="1">
      <alignment vertical="center"/>
    </xf>
    <xf numFmtId="0" fontId="85" fillId="0" borderId="12" xfId="0" applyFont="1" applyBorder="1" applyAlignment="1" applyProtection="1">
      <alignment horizontal="center" vertical="center"/>
      <protection locked="0"/>
    </xf>
    <xf numFmtId="3" fontId="70" fillId="0" borderId="30" xfId="0" applyNumberFormat="1" applyFont="1" applyBorder="1" applyAlignment="1" applyProtection="1">
      <alignment horizontal="center" vertical="center"/>
      <protection locked="0"/>
    </xf>
    <xf numFmtId="166" fontId="53" fillId="0" borderId="0" xfId="0" applyNumberFormat="1" applyFont="1" applyAlignment="1" applyProtection="1">
      <alignment vertical="center"/>
      <protection locked="0"/>
    </xf>
    <xf numFmtId="3" fontId="97" fillId="0" borderId="12" xfId="0" applyNumberFormat="1" applyFont="1" applyBorder="1" applyAlignment="1" applyProtection="1">
      <alignment vertical="center"/>
      <protection locked="0"/>
    </xf>
    <xf numFmtId="0" fontId="97" fillId="0" borderId="12" xfId="0" applyFont="1" applyBorder="1" applyAlignment="1" applyProtection="1">
      <alignment horizontal="center" vertical="center"/>
      <protection locked="0"/>
    </xf>
    <xf numFmtId="169" fontId="70" fillId="0" borderId="1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3" fontId="8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29" fillId="29" borderId="0" xfId="0" applyFont="1" applyFill="1" applyAlignment="1">
      <alignment horizontal="right"/>
    </xf>
    <xf numFmtId="3" fontId="4" fillId="0" borderId="13" xfId="0" applyNumberFormat="1" applyFont="1" applyBorder="1" applyProtection="1">
      <protection locked="0"/>
    </xf>
    <xf numFmtId="3" fontId="4" fillId="0" borderId="21" xfId="0" applyNumberFormat="1" applyFont="1" applyBorder="1" applyAlignment="1" applyProtection="1">
      <alignment horizontal="right" wrapText="1"/>
      <protection locked="0"/>
    </xf>
    <xf numFmtId="0" fontId="29" fillId="29" borderId="0" xfId="0" applyFont="1" applyFill="1" applyAlignment="1">
      <alignment horizontal="center"/>
    </xf>
    <xf numFmtId="0" fontId="29" fillId="29" borderId="0" xfId="0" applyFont="1" applyFill="1" applyAlignment="1">
      <alignment horizontal="right" vertical="center"/>
    </xf>
    <xf numFmtId="3" fontId="104" fillId="0" borderId="0" xfId="0" applyNumberFormat="1" applyFont="1" applyAlignment="1">
      <alignment horizontal="left" vertical="center"/>
    </xf>
    <xf numFmtId="3" fontId="104" fillId="0" borderId="0" xfId="0" applyNumberFormat="1" applyFont="1"/>
    <xf numFmtId="3" fontId="103" fillId="0" borderId="0" xfId="0" applyNumberFormat="1" applyFont="1" applyAlignment="1">
      <alignment horizontal="left" vertical="center"/>
    </xf>
    <xf numFmtId="3" fontId="104" fillId="0" borderId="0" xfId="0" applyNumberFormat="1" applyFont="1" applyAlignment="1">
      <alignment vertical="center"/>
    </xf>
    <xf numFmtId="0" fontId="103" fillId="0" borderId="0" xfId="0" applyFont="1" applyAlignment="1">
      <alignment horizontal="right"/>
    </xf>
    <xf numFmtId="0" fontId="29" fillId="29" borderId="0" xfId="0" applyFont="1" applyFill="1" applyAlignment="1">
      <alignment horizontal="left"/>
    </xf>
    <xf numFmtId="0" fontId="5" fillId="28" borderId="0" xfId="0" applyFont="1" applyFill="1" applyAlignment="1" applyProtection="1">
      <alignment horizontal="center" vertical="center"/>
      <protection locked="0"/>
    </xf>
    <xf numFmtId="171" fontId="70" fillId="0" borderId="12" xfId="0" applyNumberFormat="1" applyFont="1" applyBorder="1" applyAlignment="1" applyProtection="1">
      <alignment horizontal="center" vertical="center"/>
      <protection locked="0"/>
    </xf>
    <xf numFmtId="181" fontId="53" fillId="0" borderId="13" xfId="0" applyNumberFormat="1" applyFont="1" applyBorder="1" applyAlignment="1" applyProtection="1">
      <alignment vertical="center"/>
      <protection locked="0"/>
    </xf>
    <xf numFmtId="187" fontId="53" fillId="0" borderId="13" xfId="0" applyNumberFormat="1" applyFont="1" applyBorder="1" applyAlignment="1" applyProtection="1">
      <alignment vertical="center"/>
      <protection locked="0"/>
    </xf>
    <xf numFmtId="166" fontId="53" fillId="0" borderId="12" xfId="0" applyNumberFormat="1" applyFont="1" applyBorder="1" applyAlignment="1">
      <alignment horizontal="center"/>
    </xf>
    <xf numFmtId="181" fontId="106" fillId="0" borderId="13" xfId="0" applyNumberFormat="1" applyFont="1" applyBorder="1" applyAlignment="1" applyProtection="1">
      <alignment vertical="center"/>
      <protection locked="0"/>
    </xf>
    <xf numFmtId="166" fontId="106" fillId="0" borderId="12" xfId="0" applyNumberFormat="1" applyFont="1" applyBorder="1" applyAlignment="1">
      <alignment horizontal="center"/>
    </xf>
    <xf numFmtId="0" fontId="106" fillId="0" borderId="0" xfId="0" applyFont="1"/>
    <xf numFmtId="164" fontId="105" fillId="0" borderId="0" xfId="28" applyNumberFormat="1" applyFont="1" applyFill="1" applyBorder="1" applyAlignment="1" applyProtection="1">
      <protection locked="0"/>
    </xf>
    <xf numFmtId="0" fontId="106" fillId="0" borderId="0" xfId="0" applyFont="1" applyAlignment="1">
      <alignment horizontal="left" wrapText="1"/>
    </xf>
    <xf numFmtId="3" fontId="106" fillId="0" borderId="31" xfId="0" applyNumberFormat="1" applyFont="1" applyBorder="1" applyAlignment="1" applyProtection="1">
      <alignment horizontal="center" vertical="center"/>
      <protection locked="0"/>
    </xf>
    <xf numFmtId="0" fontId="106" fillId="0" borderId="0" xfId="0" applyFont="1" applyAlignment="1">
      <alignment horizontal="center" wrapText="1"/>
    </xf>
    <xf numFmtId="3" fontId="106" fillId="0" borderId="20" xfId="0" applyNumberFormat="1" applyFont="1" applyBorder="1" applyAlignment="1" applyProtection="1">
      <alignment horizontal="center" vertical="center"/>
      <protection locked="0"/>
    </xf>
    <xf numFmtId="167" fontId="106" fillId="0" borderId="12" xfId="0" applyNumberFormat="1" applyFont="1" applyBorder="1" applyAlignment="1">
      <alignment horizontal="center"/>
    </xf>
    <xf numFmtId="167" fontId="106" fillId="0" borderId="13" xfId="0" applyNumberFormat="1" applyFont="1" applyBorder="1" applyAlignment="1">
      <alignment horizontal="center" vertical="center"/>
    </xf>
    <xf numFmtId="167" fontId="106" fillId="0" borderId="12" xfId="0" applyNumberFormat="1" applyFont="1" applyBorder="1" applyAlignment="1">
      <alignment horizontal="center" vertical="center"/>
    </xf>
    <xf numFmtId="0" fontId="106" fillId="0" borderId="0" xfId="0" applyFont="1" applyAlignment="1">
      <alignment vertical="center"/>
    </xf>
    <xf numFmtId="167" fontId="106" fillId="31" borderId="13" xfId="0" applyNumberFormat="1" applyFont="1" applyFill="1" applyBorder="1" applyAlignment="1" applyProtection="1">
      <alignment horizontal="center" vertical="center"/>
      <protection locked="0"/>
    </xf>
    <xf numFmtId="174" fontId="106" fillId="31" borderId="12" xfId="0" applyNumberFormat="1" applyFont="1" applyFill="1" applyBorder="1" applyAlignment="1">
      <alignment horizontal="center" vertical="center"/>
    </xf>
    <xf numFmtId="190" fontId="106" fillId="31" borderId="13" xfId="0" applyNumberFormat="1" applyFont="1" applyFill="1" applyBorder="1" applyAlignment="1" applyProtection="1">
      <alignment horizontal="center" vertical="center"/>
      <protection locked="0"/>
    </xf>
    <xf numFmtId="171" fontId="106" fillId="31" borderId="13" xfId="0" applyNumberFormat="1" applyFont="1" applyFill="1" applyBorder="1" applyAlignment="1" applyProtection="1">
      <alignment horizontal="center" vertical="center"/>
      <protection locked="0"/>
    </xf>
    <xf numFmtId="186" fontId="106" fillId="31" borderId="13" xfId="0" applyNumberFormat="1" applyFont="1" applyFill="1" applyBorder="1" applyAlignment="1" applyProtection="1">
      <alignment horizontal="center" vertical="center"/>
      <protection locked="0"/>
    </xf>
    <xf numFmtId="183" fontId="106" fillId="31" borderId="13" xfId="0" applyNumberFormat="1" applyFont="1" applyFill="1" applyBorder="1" applyAlignment="1" applyProtection="1">
      <alignment horizontal="center" vertical="center"/>
      <protection locked="0"/>
    </xf>
    <xf numFmtId="169" fontId="106" fillId="0" borderId="13" xfId="0" applyNumberFormat="1" applyFont="1" applyBorder="1" applyAlignment="1">
      <alignment horizontal="center"/>
    </xf>
    <xf numFmtId="178" fontId="106" fillId="0" borderId="13" xfId="0" applyNumberFormat="1" applyFont="1" applyBorder="1" applyAlignment="1">
      <alignment horizontal="center"/>
    </xf>
    <xf numFmtId="3" fontId="105" fillId="0" borderId="20" xfId="0" applyNumberFormat="1" applyFont="1" applyBorder="1" applyAlignment="1" applyProtection="1">
      <alignment horizontal="center" vertical="center"/>
      <protection locked="0"/>
    </xf>
    <xf numFmtId="173" fontId="106" fillId="0" borderId="12" xfId="0" applyNumberFormat="1" applyFont="1" applyBorder="1" applyAlignment="1">
      <alignment horizontal="center" vertical="center"/>
    </xf>
    <xf numFmtId="182" fontId="106" fillId="0" borderId="12" xfId="0" applyNumberFormat="1" applyFont="1" applyBorder="1" applyAlignment="1">
      <alignment horizontal="center" vertical="center"/>
    </xf>
    <xf numFmtId="183" fontId="106" fillId="0" borderId="13" xfId="0" applyNumberFormat="1" applyFont="1" applyBorder="1" applyAlignment="1" applyProtection="1">
      <alignment horizontal="center" vertical="center"/>
      <protection locked="0"/>
    </xf>
    <xf numFmtId="177" fontId="106" fillId="0" borderId="12" xfId="0" applyNumberFormat="1" applyFont="1" applyBorder="1" applyAlignment="1" applyProtection="1">
      <alignment horizontal="center" vertical="center"/>
      <protection locked="0"/>
    </xf>
    <xf numFmtId="166" fontId="106" fillId="28" borderId="13" xfId="0" applyNumberFormat="1" applyFont="1" applyFill="1" applyBorder="1" applyAlignment="1">
      <alignment horizontal="center" vertical="center"/>
    </xf>
    <xf numFmtId="3" fontId="106" fillId="0" borderId="13" xfId="0" applyNumberFormat="1" applyFont="1" applyBorder="1" applyAlignment="1" applyProtection="1">
      <alignment horizontal="center" vertical="center"/>
      <protection locked="0"/>
    </xf>
    <xf numFmtId="166" fontId="106" fillId="0" borderId="13" xfId="0" applyNumberFormat="1" applyFont="1" applyBorder="1" applyAlignment="1">
      <alignment horizontal="center"/>
    </xf>
    <xf numFmtId="166" fontId="106" fillId="0" borderId="12" xfId="0" applyNumberFormat="1" applyFont="1" applyBorder="1" applyAlignment="1" applyProtection="1">
      <alignment horizontal="center"/>
      <protection locked="0"/>
    </xf>
    <xf numFmtId="3" fontId="106" fillId="0" borderId="50" xfId="0" applyNumberFormat="1" applyFont="1" applyBorder="1" applyAlignment="1" applyProtection="1">
      <alignment horizontal="center" vertical="center"/>
      <protection locked="0"/>
    </xf>
    <xf numFmtId="173" fontId="106" fillId="0" borderId="12" xfId="0" applyNumberFormat="1" applyFont="1" applyBorder="1" applyAlignment="1">
      <alignment horizontal="center"/>
    </xf>
    <xf numFmtId="185" fontId="106" fillId="0" borderId="12" xfId="0" applyNumberFormat="1" applyFont="1" applyBorder="1" applyAlignment="1">
      <alignment horizontal="center"/>
    </xf>
    <xf numFmtId="167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/>
    <xf numFmtId="0" fontId="53" fillId="0" borderId="0" xfId="0" applyFont="1" applyAlignment="1" applyProtection="1">
      <alignment vertical="center"/>
      <protection locked="0"/>
    </xf>
    <xf numFmtId="0" fontId="53" fillId="0" borderId="0" xfId="0" applyFont="1"/>
    <xf numFmtId="3" fontId="53" fillId="0" borderId="0" xfId="0" applyNumberFormat="1" applyFont="1" applyAlignment="1" applyProtection="1">
      <alignment horizontal="center"/>
      <protection locked="0"/>
    </xf>
    <xf numFmtId="3" fontId="53" fillId="0" borderId="14" xfId="0" applyNumberFormat="1" applyFont="1" applyBorder="1" applyAlignment="1" applyProtection="1">
      <alignment horizontal="center"/>
      <protection locked="0"/>
    </xf>
    <xf numFmtId="3" fontId="53" fillId="0" borderId="13" xfId="0" applyNumberFormat="1" applyFont="1" applyBorder="1" applyAlignment="1" applyProtection="1">
      <alignment horizontal="center"/>
      <protection locked="0"/>
    </xf>
    <xf numFmtId="3" fontId="53" fillId="0" borderId="12" xfId="0" applyNumberFormat="1" applyFont="1" applyBorder="1" applyAlignment="1" applyProtection="1">
      <alignment horizontal="center"/>
      <protection locked="0"/>
    </xf>
    <xf numFmtId="3" fontId="53" fillId="0" borderId="0" xfId="0" applyNumberFormat="1" applyFont="1"/>
    <xf numFmtId="3" fontId="53" fillId="0" borderId="0" xfId="0" applyNumberFormat="1" applyFont="1" applyAlignment="1" applyProtection="1">
      <alignment horizontal="center" wrapText="1"/>
      <protection locked="0"/>
    </xf>
    <xf numFmtId="167" fontId="53" fillId="0" borderId="12" xfId="0" applyNumberFormat="1" applyFont="1" applyBorder="1" applyAlignment="1">
      <alignment horizontal="center"/>
    </xf>
    <xf numFmtId="167" fontId="53" fillId="0" borderId="13" xfId="0" applyNumberFormat="1" applyFont="1" applyBorder="1" applyAlignment="1">
      <alignment horizontal="center"/>
    </xf>
    <xf numFmtId="167" fontId="53" fillId="0" borderId="13" xfId="0" applyNumberFormat="1" applyFont="1" applyBorder="1" applyAlignment="1">
      <alignment horizontal="center" vertical="center"/>
    </xf>
    <xf numFmtId="167" fontId="53" fillId="0" borderId="12" xfId="0" applyNumberFormat="1" applyFont="1" applyBorder="1" applyAlignment="1">
      <alignment horizontal="center" vertical="center"/>
    </xf>
    <xf numFmtId="166" fontId="53" fillId="0" borderId="12" xfId="0" applyNumberFormat="1" applyFont="1" applyBorder="1" applyAlignment="1">
      <alignment horizontal="center" vertical="center"/>
    </xf>
    <xf numFmtId="167" fontId="53" fillId="31" borderId="13" xfId="0" applyNumberFormat="1" applyFont="1" applyFill="1" applyBorder="1" applyAlignment="1" applyProtection="1">
      <alignment horizontal="center" vertical="center"/>
      <protection locked="0"/>
    </xf>
    <xf numFmtId="174" fontId="53" fillId="31" borderId="12" xfId="0" applyNumberFormat="1" applyFont="1" applyFill="1" applyBorder="1" applyAlignment="1">
      <alignment horizontal="center" vertical="center"/>
    </xf>
    <xf numFmtId="190" fontId="53" fillId="31" borderId="13" xfId="0" applyNumberFormat="1" applyFont="1" applyFill="1" applyBorder="1" applyAlignment="1" applyProtection="1">
      <alignment horizontal="center" vertical="center"/>
      <protection locked="0"/>
    </xf>
    <xf numFmtId="171" fontId="53" fillId="31" borderId="13" xfId="0" applyNumberFormat="1" applyFont="1" applyFill="1" applyBorder="1" applyAlignment="1" applyProtection="1">
      <alignment horizontal="center" vertical="center"/>
      <protection locked="0"/>
    </xf>
    <xf numFmtId="186" fontId="53" fillId="31" borderId="13" xfId="0" applyNumberFormat="1" applyFont="1" applyFill="1" applyBorder="1" applyAlignment="1" applyProtection="1">
      <alignment horizontal="center" vertical="center"/>
      <protection locked="0"/>
    </xf>
    <xf numFmtId="183" fontId="53" fillId="31" borderId="13" xfId="0" applyNumberFormat="1" applyFont="1" applyFill="1" applyBorder="1" applyAlignment="1" applyProtection="1">
      <alignment horizontal="center" vertical="center"/>
      <protection locked="0"/>
    </xf>
    <xf numFmtId="181" fontId="53" fillId="0" borderId="13" xfId="0" applyNumberFormat="1" applyFont="1" applyBorder="1" applyAlignment="1">
      <alignment horizontal="center"/>
    </xf>
    <xf numFmtId="169" fontId="53" fillId="0" borderId="13" xfId="0" applyNumberFormat="1" applyFont="1" applyBorder="1" applyAlignment="1">
      <alignment horizontal="center"/>
    </xf>
    <xf numFmtId="166" fontId="53" fillId="0" borderId="13" xfId="0" applyNumberFormat="1" applyFont="1" applyBorder="1" applyAlignment="1">
      <alignment horizontal="center"/>
    </xf>
    <xf numFmtId="178" fontId="53" fillId="0" borderId="13" xfId="0" applyNumberFormat="1" applyFont="1" applyBorder="1" applyAlignment="1">
      <alignment horizontal="center"/>
    </xf>
    <xf numFmtId="173" fontId="53" fillId="0" borderId="12" xfId="0" applyNumberFormat="1" applyFont="1" applyBorder="1" applyAlignment="1">
      <alignment horizontal="center" vertical="center"/>
    </xf>
    <xf numFmtId="182" fontId="53" fillId="0" borderId="12" xfId="0" applyNumberFormat="1" applyFont="1" applyBorder="1" applyAlignment="1">
      <alignment horizontal="center" vertical="center"/>
    </xf>
    <xf numFmtId="175" fontId="53" fillId="0" borderId="12" xfId="0" applyNumberFormat="1" applyFont="1" applyBorder="1" applyAlignment="1">
      <alignment horizontal="center" vertical="center"/>
    </xf>
    <xf numFmtId="183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12" xfId="0" applyNumberFormat="1" applyFont="1" applyBorder="1" applyAlignment="1" applyProtection="1">
      <alignment horizontal="center" vertical="center"/>
      <protection locked="0"/>
    </xf>
    <xf numFmtId="166" fontId="53" fillId="28" borderId="13" xfId="0" applyNumberFormat="1" applyFont="1" applyFill="1" applyBorder="1" applyAlignment="1">
      <alignment horizontal="center" vertical="center"/>
    </xf>
    <xf numFmtId="3" fontId="53" fillId="0" borderId="14" xfId="0" applyNumberFormat="1" applyFont="1" applyBorder="1" applyAlignment="1" applyProtection="1">
      <alignment horizontal="center" vertical="center"/>
      <protection locked="0"/>
    </xf>
    <xf numFmtId="167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42" xfId="0" applyNumberFormat="1" applyFont="1" applyBorder="1" applyAlignment="1" applyProtection="1">
      <alignment horizontal="center" vertical="center"/>
      <protection locked="0"/>
    </xf>
    <xf numFmtId="166" fontId="53" fillId="0" borderId="12" xfId="0" applyNumberFormat="1" applyFont="1" applyBorder="1" applyAlignment="1" applyProtection="1">
      <alignment horizontal="center"/>
      <protection locked="0"/>
    </xf>
    <xf numFmtId="173" fontId="53" fillId="0" borderId="43" xfId="0" applyNumberFormat="1" applyFont="1" applyBorder="1" applyAlignment="1">
      <alignment horizontal="center"/>
    </xf>
    <xf numFmtId="173" fontId="53" fillId="0" borderId="43" xfId="0" applyNumberFormat="1" applyFont="1" applyBorder="1" applyAlignment="1">
      <alignment horizontal="center" vertical="center"/>
    </xf>
    <xf numFmtId="167" fontId="53" fillId="0" borderId="43" xfId="0" applyNumberFormat="1" applyFont="1" applyBorder="1" applyAlignment="1">
      <alignment horizontal="center"/>
    </xf>
    <xf numFmtId="186" fontId="53" fillId="0" borderId="43" xfId="0" applyNumberFormat="1" applyFont="1" applyBorder="1" applyAlignment="1">
      <alignment horizontal="center"/>
    </xf>
    <xf numFmtId="185" fontId="53" fillId="0" borderId="43" xfId="0" applyNumberFormat="1" applyFont="1" applyBorder="1" applyAlignment="1">
      <alignment horizontal="center"/>
    </xf>
    <xf numFmtId="175" fontId="53" fillId="0" borderId="12" xfId="0" applyNumberFormat="1" applyFont="1" applyBorder="1" applyAlignment="1" applyProtection="1">
      <alignment horizontal="center"/>
      <protection locked="0"/>
    </xf>
    <xf numFmtId="185" fontId="53" fillId="0" borderId="12" xfId="0" applyNumberFormat="1" applyFont="1" applyBorder="1" applyAlignment="1">
      <alignment horizontal="center"/>
    </xf>
    <xf numFmtId="167" fontId="53" fillId="0" borderId="12" xfId="0" applyNumberFormat="1" applyFont="1" applyBorder="1" applyAlignment="1" applyProtection="1">
      <alignment horizontal="center"/>
      <protection locked="0"/>
    </xf>
    <xf numFmtId="173" fontId="53" fillId="0" borderId="12" xfId="0" applyNumberFormat="1" applyFont="1" applyBorder="1" applyAlignment="1">
      <alignment horizontal="center"/>
    </xf>
    <xf numFmtId="3" fontId="53" fillId="0" borderId="12" xfId="0" applyNumberFormat="1" applyFont="1" applyBorder="1"/>
    <xf numFmtId="192" fontId="53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Protection="1">
      <protection locked="0"/>
    </xf>
    <xf numFmtId="164" fontId="5" fillId="33" borderId="15" xfId="28" applyNumberFormat="1" applyFont="1" applyFill="1" applyBorder="1" applyAlignment="1">
      <alignment horizontal="center"/>
    </xf>
    <xf numFmtId="0" fontId="4" fillId="33" borderId="16" xfId="0" applyFont="1" applyFill="1" applyBorder="1" applyAlignment="1">
      <alignment horizontal="center"/>
    </xf>
    <xf numFmtId="0" fontId="1" fillId="33" borderId="16" xfId="0" applyFont="1" applyFill="1" applyBorder="1" applyAlignment="1">
      <alignment horizontal="center"/>
    </xf>
    <xf numFmtId="164" fontId="1" fillId="33" borderId="16" xfId="28" applyNumberFormat="1" applyFont="1" applyFill="1" applyBorder="1" applyAlignment="1">
      <alignment horizontal="center"/>
    </xf>
    <xf numFmtId="180" fontId="1" fillId="33" borderId="17" xfId="0" applyNumberFormat="1" applyFont="1" applyFill="1" applyBorder="1" applyAlignment="1">
      <alignment horizontal="center"/>
    </xf>
    <xf numFmtId="169" fontId="4" fillId="33" borderId="10" xfId="0" applyNumberFormat="1" applyFont="1" applyFill="1" applyBorder="1" applyAlignment="1">
      <alignment horizontal="center" vertical="center"/>
    </xf>
    <xf numFmtId="176" fontId="4" fillId="33" borderId="18" xfId="0" applyNumberFormat="1" applyFont="1" applyFill="1" applyBorder="1" applyAlignment="1">
      <alignment horizontal="center" vertical="center"/>
    </xf>
    <xf numFmtId="177" fontId="1" fillId="33" borderId="18" xfId="0" applyNumberFormat="1" applyFont="1" applyFill="1" applyBorder="1" applyAlignment="1">
      <alignment horizontal="center" vertical="center"/>
    </xf>
    <xf numFmtId="178" fontId="1" fillId="33" borderId="18" xfId="0" applyNumberFormat="1" applyFont="1" applyFill="1" applyBorder="1" applyAlignment="1">
      <alignment horizontal="center" vertical="center"/>
    </xf>
    <xf numFmtId="181" fontId="1" fillId="33" borderId="18" xfId="0" applyNumberFormat="1" applyFont="1" applyFill="1" applyBorder="1" applyAlignment="1">
      <alignment horizontal="center" vertical="center"/>
    </xf>
    <xf numFmtId="179" fontId="4" fillId="33" borderId="19" xfId="0" applyNumberFormat="1" applyFont="1" applyFill="1" applyBorder="1" applyAlignment="1">
      <alignment horizontal="center" vertical="center"/>
    </xf>
    <xf numFmtId="193" fontId="53" fillId="0" borderId="12" xfId="0" applyNumberFormat="1" applyFont="1" applyBorder="1" applyAlignment="1">
      <alignment horizontal="center" vertical="center"/>
    </xf>
    <xf numFmtId="194" fontId="53" fillId="0" borderId="12" xfId="0" applyNumberFormat="1" applyFont="1" applyBorder="1" applyAlignment="1">
      <alignment horizontal="center" vertical="center"/>
    </xf>
    <xf numFmtId="192" fontId="53" fillId="0" borderId="12" xfId="0" applyNumberFormat="1" applyFont="1" applyBorder="1" applyAlignment="1">
      <alignment horizontal="center" vertical="center"/>
    </xf>
    <xf numFmtId="192" fontId="106" fillId="0" borderId="12" xfId="0" applyNumberFormat="1" applyFont="1" applyBorder="1" applyAlignment="1">
      <alignment horizontal="center" vertical="center"/>
    </xf>
    <xf numFmtId="3" fontId="108" fillId="0" borderId="0" xfId="0" applyNumberFormat="1" applyFont="1"/>
    <xf numFmtId="168" fontId="4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81" fillId="27" borderId="12" xfId="0" applyNumberFormat="1" applyFont="1" applyFill="1" applyBorder="1" applyAlignment="1" applyProtection="1">
      <alignment vertical="center"/>
      <protection locked="0"/>
    </xf>
    <xf numFmtId="0" fontId="1" fillId="28" borderId="12" xfId="0" applyFont="1" applyFill="1" applyBorder="1" applyAlignment="1" applyProtection="1">
      <alignment wrapText="1"/>
      <protection locked="0"/>
    </xf>
    <xf numFmtId="3" fontId="1" fillId="28" borderId="12" xfId="0" applyNumberFormat="1" applyFont="1" applyFill="1" applyBorder="1" applyProtection="1">
      <protection locked="0"/>
    </xf>
    <xf numFmtId="166" fontId="53" fillId="28" borderId="12" xfId="0" applyNumberFormat="1" applyFont="1" applyFill="1" applyBorder="1" applyAlignment="1">
      <alignment horizontal="center"/>
    </xf>
    <xf numFmtId="166" fontId="106" fillId="28" borderId="12" xfId="0" applyNumberFormat="1" applyFont="1" applyFill="1" applyBorder="1" applyAlignment="1">
      <alignment horizontal="center"/>
    </xf>
    <xf numFmtId="9" fontId="0" fillId="0" borderId="0" xfId="46" applyFont="1" applyAlignment="1">
      <alignment vertical="center"/>
    </xf>
    <xf numFmtId="3" fontId="76" fillId="0" borderId="12" xfId="0" applyNumberFormat="1" applyFont="1" applyBorder="1" applyProtection="1">
      <protection locked="0"/>
    </xf>
    <xf numFmtId="167" fontId="0" fillId="0" borderId="0" xfId="0" applyNumberFormat="1"/>
    <xf numFmtId="186" fontId="106" fillId="0" borderId="12" xfId="0" applyNumberFormat="1" applyFont="1" applyBorder="1" applyAlignment="1">
      <alignment horizontal="center"/>
    </xf>
    <xf numFmtId="175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 applyAlignment="1" applyProtection="1">
      <alignment horizontal="center"/>
      <protection locked="0"/>
    </xf>
    <xf numFmtId="165" fontId="105" fillId="0" borderId="12" xfId="0" applyNumberFormat="1" applyFont="1" applyBorder="1" applyAlignment="1">
      <alignment horizontal="center" vertical="center"/>
    </xf>
    <xf numFmtId="3" fontId="87" fillId="0" borderId="0" xfId="0" applyNumberFormat="1" applyFont="1" applyAlignment="1">
      <alignment vertical="center"/>
    </xf>
    <xf numFmtId="0" fontId="77" fillId="27" borderId="0" xfId="0" applyFont="1" applyFill="1" applyAlignment="1">
      <alignment vertical="center"/>
    </xf>
    <xf numFmtId="0" fontId="78" fillId="27" borderId="0" xfId="0" applyFont="1" applyFill="1" applyAlignment="1">
      <alignment vertical="center"/>
    </xf>
    <xf numFmtId="0" fontId="29" fillId="27" borderId="0" xfId="0" applyFont="1" applyFill="1" applyAlignment="1">
      <alignment vertical="center"/>
    </xf>
    <xf numFmtId="0" fontId="89" fillId="27" borderId="0" xfId="0" applyFont="1" applyFill="1" applyAlignment="1" applyProtection="1">
      <alignment horizontal="center" wrapText="1"/>
      <protection locked="0"/>
    </xf>
    <xf numFmtId="195" fontId="53" fillId="0" borderId="13" xfId="0" applyNumberFormat="1" applyFon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>
      <alignment vertical="center"/>
    </xf>
    <xf numFmtId="0" fontId="109" fillId="0" borderId="0" xfId="0" applyFont="1" applyAlignment="1" applyProtection="1">
      <alignment horizontal="center" wrapText="1"/>
      <protection locked="0"/>
    </xf>
    <xf numFmtId="191" fontId="0" fillId="28" borderId="0" xfId="0" applyNumberFormat="1" applyFill="1"/>
    <xf numFmtId="164" fontId="7" fillId="0" borderId="0" xfId="28" applyNumberFormat="1" applyFont="1" applyAlignment="1">
      <alignment vertical="center"/>
    </xf>
    <xf numFmtId="0" fontId="16" fillId="27" borderId="0" xfId="0" applyFont="1" applyFill="1" applyAlignment="1">
      <alignment horizontal="right" vertical="center"/>
    </xf>
    <xf numFmtId="0" fontId="8" fillId="29" borderId="0" xfId="0" applyFont="1" applyFill="1" applyAlignment="1">
      <alignment vertical="center"/>
    </xf>
    <xf numFmtId="9" fontId="8" fillId="27" borderId="0" xfId="46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59" fillId="27" borderId="0" xfId="0" applyFont="1" applyFill="1" applyAlignment="1" applyProtection="1">
      <alignment horizontal="left" wrapText="1"/>
      <protection locked="0"/>
    </xf>
    <xf numFmtId="181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horizontal="left" wrapText="1"/>
      <protection locked="0"/>
    </xf>
    <xf numFmtId="3" fontId="29" fillId="0" borderId="0" xfId="0" applyNumberFormat="1" applyFont="1" applyAlignment="1">
      <alignment vertical="center"/>
    </xf>
    <xf numFmtId="3" fontId="68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4" fillId="0" borderId="28" xfId="0" applyFont="1" applyBorder="1" applyAlignment="1" applyProtection="1">
      <alignment wrapText="1"/>
      <protection locked="0"/>
    </xf>
    <xf numFmtId="3" fontId="103" fillId="31" borderId="0" xfId="0" applyNumberFormat="1" applyFont="1" applyFill="1" applyAlignment="1">
      <alignment vertical="center"/>
    </xf>
    <xf numFmtId="3" fontId="101" fillId="34" borderId="0" xfId="0" applyNumberFormat="1" applyFont="1" applyFill="1" applyAlignment="1">
      <alignment horizontal="left" vertical="center"/>
    </xf>
    <xf numFmtId="3" fontId="110" fillId="34" borderId="0" xfId="0" applyNumberFormat="1" applyFont="1" applyFill="1" applyAlignment="1">
      <alignment vertical="center"/>
    </xf>
    <xf numFmtId="3" fontId="111" fillId="34" borderId="49" xfId="0" applyNumberFormat="1" applyFont="1" applyFill="1" applyBorder="1" applyAlignment="1">
      <alignment vertical="center"/>
    </xf>
    <xf numFmtId="3" fontId="110" fillId="30" borderId="0" xfId="0" applyNumberFormat="1" applyFont="1" applyFill="1" applyAlignment="1">
      <alignment vertical="center"/>
    </xf>
    <xf numFmtId="3" fontId="111" fillId="30" borderId="49" xfId="0" applyNumberFormat="1" applyFont="1" applyFill="1" applyBorder="1" applyAlignment="1">
      <alignment vertical="center"/>
    </xf>
    <xf numFmtId="3" fontId="101" fillId="30" borderId="0" xfId="0" applyNumberFormat="1" applyFont="1" applyFill="1" applyAlignment="1">
      <alignment horizontal="left" vertical="center"/>
    </xf>
    <xf numFmtId="3" fontId="112" fillId="33" borderId="49" xfId="0" applyNumberFormat="1" applyFont="1" applyFill="1" applyBorder="1" applyAlignment="1">
      <alignment vertical="center"/>
    </xf>
    <xf numFmtId="166" fontId="70" fillId="33" borderId="12" xfId="0" applyNumberFormat="1" applyFont="1" applyFill="1" applyBorder="1" applyAlignment="1">
      <alignment horizontal="center" vertical="center"/>
    </xf>
    <xf numFmtId="3" fontId="29" fillId="33" borderId="0" xfId="0" applyNumberFormat="1" applyFont="1" applyFill="1" applyAlignment="1">
      <alignment vertical="center"/>
    </xf>
    <xf numFmtId="167" fontId="53" fillId="33" borderId="12" xfId="0" applyNumberFormat="1" applyFont="1" applyFill="1" applyBorder="1" applyAlignment="1">
      <alignment horizontal="center" vertical="center"/>
    </xf>
    <xf numFmtId="3" fontId="1" fillId="33" borderId="0" xfId="0" applyNumberFormat="1" applyFont="1" applyFill="1" applyAlignment="1">
      <alignment horizontal="left" vertical="center"/>
    </xf>
    <xf numFmtId="167" fontId="53" fillId="33" borderId="12" xfId="0" applyNumberFormat="1" applyFont="1" applyFill="1" applyBorder="1" applyAlignment="1">
      <alignment horizontal="center"/>
    </xf>
    <xf numFmtId="166" fontId="53" fillId="33" borderId="12" xfId="0" applyNumberFormat="1" applyFont="1" applyFill="1" applyBorder="1" applyAlignment="1">
      <alignment horizontal="center"/>
    </xf>
    <xf numFmtId="0" fontId="1" fillId="35" borderId="12" xfId="0" applyFont="1" applyFill="1" applyBorder="1" applyAlignment="1" applyProtection="1">
      <alignment vertical="center" wrapText="1"/>
      <protection locked="0"/>
    </xf>
    <xf numFmtId="3" fontId="1" fillId="35" borderId="12" xfId="0" applyNumberFormat="1" applyFont="1" applyFill="1" applyBorder="1" applyAlignment="1" applyProtection="1">
      <alignment vertical="center"/>
      <protection locked="0"/>
    </xf>
    <xf numFmtId="169" fontId="70" fillId="35" borderId="12" xfId="0" applyNumberFormat="1" applyFont="1" applyFill="1" applyBorder="1" applyAlignment="1">
      <alignment horizontal="center" vertical="center"/>
    </xf>
    <xf numFmtId="0" fontId="4" fillId="35" borderId="12" xfId="0" applyFont="1" applyFill="1" applyBorder="1" applyAlignment="1" applyProtection="1">
      <alignment horizontal="center" vertical="center"/>
      <protection locked="0"/>
    </xf>
    <xf numFmtId="3" fontId="4" fillId="35" borderId="13" xfId="0" applyNumberFormat="1" applyFont="1" applyFill="1" applyBorder="1" applyAlignment="1" applyProtection="1">
      <alignment horizontal="center" vertical="center"/>
      <protection locked="0"/>
    </xf>
    <xf numFmtId="168" fontId="70" fillId="35" borderId="12" xfId="0" applyNumberFormat="1" applyFont="1" applyFill="1" applyBorder="1" applyAlignment="1">
      <alignment horizontal="center" vertical="center"/>
    </xf>
    <xf numFmtId="3" fontId="112" fillId="36" borderId="49" xfId="0" applyNumberFormat="1" applyFont="1" applyFill="1" applyBorder="1" applyAlignment="1">
      <alignment vertical="center"/>
    </xf>
    <xf numFmtId="3" fontId="103" fillId="36" borderId="0" xfId="0" applyNumberFormat="1" applyFont="1" applyFill="1" applyAlignment="1">
      <alignment vertical="center"/>
    </xf>
    <xf numFmtId="193" fontId="113" fillId="36" borderId="12" xfId="0" applyNumberFormat="1" applyFont="1" applyFill="1" applyBorder="1" applyAlignment="1">
      <alignment horizontal="center" vertical="center"/>
    </xf>
    <xf numFmtId="3" fontId="100" fillId="36" borderId="0" xfId="0" applyNumberFormat="1" applyFont="1" applyFill="1" applyAlignment="1">
      <alignment horizontal="left" vertical="center"/>
    </xf>
    <xf numFmtId="165" fontId="4" fillId="36" borderId="10" xfId="0" applyNumberFormat="1" applyFont="1" applyFill="1" applyBorder="1" applyAlignment="1">
      <alignment horizontal="center"/>
    </xf>
    <xf numFmtId="173" fontId="113" fillId="36" borderId="12" xfId="0" applyNumberFormat="1" applyFont="1" applyFill="1" applyBorder="1" applyAlignment="1">
      <alignment horizontal="center" vertical="center"/>
    </xf>
    <xf numFmtId="3" fontId="1" fillId="36" borderId="12" xfId="0" applyNumberFormat="1" applyFont="1" applyFill="1" applyBorder="1" applyAlignment="1" applyProtection="1">
      <alignment vertical="center"/>
      <protection locked="0"/>
    </xf>
    <xf numFmtId="0" fontId="1" fillId="36" borderId="12" xfId="0" applyFont="1" applyFill="1" applyBorder="1" applyAlignment="1" applyProtection="1">
      <alignment vertical="center" wrapText="1"/>
      <protection locked="0"/>
    </xf>
    <xf numFmtId="3" fontId="29" fillId="36" borderId="0" xfId="0" applyNumberFormat="1" applyFont="1" applyFill="1" applyAlignment="1">
      <alignment vertical="center"/>
    </xf>
    <xf numFmtId="166" fontId="70" fillId="36" borderId="12" xfId="0" applyNumberFormat="1" applyFont="1" applyFill="1" applyBorder="1" applyAlignment="1">
      <alignment horizontal="center" vertical="center"/>
    </xf>
    <xf numFmtId="3" fontId="112" fillId="31" borderId="49" xfId="0" applyNumberFormat="1" applyFont="1" applyFill="1" applyBorder="1" applyAlignment="1">
      <alignment vertical="center"/>
    </xf>
    <xf numFmtId="166" fontId="70" fillId="31" borderId="13" xfId="0" applyNumberFormat="1" applyFont="1" applyFill="1" applyBorder="1" applyAlignment="1">
      <alignment horizontal="center" vertical="center"/>
    </xf>
    <xf numFmtId="166" fontId="70" fillId="37" borderId="12" xfId="0" applyNumberFormat="1" applyFont="1" applyFill="1" applyBorder="1" applyAlignment="1" applyProtection="1">
      <alignment horizontal="center" vertical="center"/>
      <protection locked="0"/>
    </xf>
    <xf numFmtId="3" fontId="103" fillId="37" borderId="0" xfId="0" applyNumberFormat="1" applyFont="1" applyFill="1" applyAlignment="1">
      <alignment vertical="center"/>
    </xf>
    <xf numFmtId="167" fontId="106" fillId="37" borderId="12" xfId="0" applyNumberFormat="1" applyFont="1" applyFill="1" applyBorder="1" applyAlignment="1">
      <alignment horizontal="center" vertical="center"/>
    </xf>
    <xf numFmtId="3" fontId="104" fillId="37" borderId="0" xfId="0" applyNumberFormat="1" applyFont="1" applyFill="1" applyAlignment="1">
      <alignment horizontal="left" vertical="center"/>
    </xf>
    <xf numFmtId="3" fontId="104" fillId="31" borderId="0" xfId="0" applyNumberFormat="1" applyFont="1" applyFill="1" applyAlignment="1">
      <alignment horizontal="left" vertical="center"/>
    </xf>
    <xf numFmtId="196" fontId="70" fillId="31" borderId="12" xfId="0" applyNumberFormat="1" applyFont="1" applyFill="1" applyBorder="1" applyAlignment="1" applyProtection="1">
      <alignment horizontal="center" vertical="center"/>
      <protection locked="0"/>
    </xf>
    <xf numFmtId="167" fontId="70" fillId="31" borderId="13" xfId="0" applyNumberFormat="1" applyFont="1" applyFill="1" applyBorder="1" applyAlignment="1">
      <alignment horizontal="center" vertical="center"/>
    </xf>
    <xf numFmtId="171" fontId="70" fillId="31" borderId="13" xfId="0" applyNumberFormat="1" applyFont="1" applyFill="1" applyBorder="1" applyAlignment="1">
      <alignment horizontal="center" vertical="center"/>
    </xf>
    <xf numFmtId="3" fontId="29" fillId="31" borderId="0" xfId="0" applyNumberFormat="1" applyFont="1" applyFill="1" applyAlignment="1">
      <alignment vertical="center"/>
    </xf>
    <xf numFmtId="167" fontId="53" fillId="31" borderId="12" xfId="0" applyNumberFormat="1" applyFont="1" applyFill="1" applyBorder="1" applyAlignment="1" applyProtection="1">
      <alignment horizontal="center"/>
      <protection locked="0"/>
    </xf>
    <xf numFmtId="3" fontId="1" fillId="31" borderId="0" xfId="0" applyNumberFormat="1" applyFont="1" applyFill="1" applyAlignment="1">
      <alignment horizontal="left" vertical="center"/>
    </xf>
    <xf numFmtId="166" fontId="53" fillId="31" borderId="12" xfId="0" applyNumberFormat="1" applyFont="1" applyFill="1" applyBorder="1" applyAlignment="1">
      <alignment horizontal="center" vertical="center"/>
    </xf>
    <xf numFmtId="166" fontId="70" fillId="31" borderId="12" xfId="0" applyNumberFormat="1" applyFont="1" applyFill="1" applyBorder="1" applyAlignment="1">
      <alignment horizontal="center" vertical="center"/>
    </xf>
    <xf numFmtId="3" fontId="112" fillId="38" borderId="49" xfId="0" applyNumberFormat="1" applyFont="1" applyFill="1" applyBorder="1" applyAlignment="1">
      <alignment vertical="center"/>
    </xf>
    <xf numFmtId="3" fontId="103" fillId="38" borderId="0" xfId="0" applyNumberFormat="1" applyFont="1" applyFill="1" applyAlignment="1">
      <alignment vertical="center"/>
    </xf>
    <xf numFmtId="169" fontId="70" fillId="38" borderId="12" xfId="0" applyNumberFormat="1" applyFont="1" applyFill="1" applyBorder="1" applyAlignment="1">
      <alignment horizontal="center" vertical="center"/>
    </xf>
    <xf numFmtId="166" fontId="70" fillId="38" borderId="12" xfId="0" applyNumberFormat="1" applyFont="1" applyFill="1" applyBorder="1" applyAlignment="1">
      <alignment horizontal="center" vertical="center"/>
    </xf>
    <xf numFmtId="0" fontId="1" fillId="38" borderId="12" xfId="0" applyFont="1" applyFill="1" applyBorder="1" applyAlignment="1" applyProtection="1">
      <alignment vertical="center" wrapText="1"/>
      <protection locked="0"/>
    </xf>
    <xf numFmtId="167" fontId="53" fillId="38" borderId="12" xfId="0" applyNumberFormat="1" applyFont="1" applyFill="1" applyBorder="1" applyAlignment="1">
      <alignment horizontal="center"/>
    </xf>
    <xf numFmtId="195" fontId="53" fillId="38" borderId="13" xfId="0" applyNumberFormat="1" applyFont="1" applyFill="1" applyBorder="1" applyAlignment="1" applyProtection="1">
      <alignment horizontal="center" vertical="center"/>
      <protection locked="0"/>
    </xf>
    <xf numFmtId="3" fontId="1" fillId="38" borderId="0" xfId="0" applyNumberFormat="1" applyFont="1" applyFill="1" applyAlignment="1">
      <alignment horizontal="left" vertical="center"/>
    </xf>
    <xf numFmtId="167" fontId="70" fillId="38" borderId="12" xfId="0" applyNumberFormat="1" applyFont="1" applyFill="1" applyBorder="1" applyAlignment="1">
      <alignment horizontal="center" vertical="center"/>
    </xf>
    <xf numFmtId="3" fontId="111" fillId="39" borderId="49" xfId="0" applyNumberFormat="1" applyFont="1" applyFill="1" applyBorder="1" applyAlignment="1">
      <alignment vertical="center"/>
    </xf>
    <xf numFmtId="3" fontId="98" fillId="39" borderId="0" xfId="0" applyNumberFormat="1" applyFont="1" applyFill="1" applyAlignment="1">
      <alignment vertical="center"/>
    </xf>
    <xf numFmtId="166" fontId="115" fillId="39" borderId="13" xfId="0" applyNumberFormat="1" applyFont="1" applyFill="1" applyBorder="1" applyAlignment="1">
      <alignment horizontal="center" vertical="center"/>
    </xf>
    <xf numFmtId="0" fontId="97" fillId="39" borderId="12" xfId="0" applyFont="1" applyFill="1" applyBorder="1" applyAlignment="1" applyProtection="1">
      <alignment vertical="center" wrapText="1"/>
      <protection locked="0"/>
    </xf>
    <xf numFmtId="166" fontId="115" fillId="39" borderId="12" xfId="0" applyNumberFormat="1" applyFont="1" applyFill="1" applyBorder="1" applyAlignment="1">
      <alignment horizontal="center" vertical="center"/>
    </xf>
    <xf numFmtId="0" fontId="98" fillId="39" borderId="0" xfId="0" applyFont="1" applyFill="1" applyAlignment="1">
      <alignment vertical="center"/>
    </xf>
    <xf numFmtId="166" fontId="116" fillId="40" borderId="12" xfId="0" applyNumberFormat="1" applyFont="1" applyFill="1" applyBorder="1" applyAlignment="1">
      <alignment horizontal="center" vertical="center"/>
    </xf>
    <xf numFmtId="3" fontId="117" fillId="40" borderId="0" xfId="0" applyNumberFormat="1" applyFont="1" applyFill="1" applyAlignment="1">
      <alignment vertical="center"/>
    </xf>
    <xf numFmtId="3" fontId="118" fillId="40" borderId="49" xfId="0" applyNumberFormat="1" applyFont="1" applyFill="1" applyBorder="1" applyAlignment="1">
      <alignment vertical="center"/>
    </xf>
    <xf numFmtId="166" fontId="116" fillId="40" borderId="13" xfId="0" applyNumberFormat="1" applyFont="1" applyFill="1" applyBorder="1" applyAlignment="1">
      <alignment horizontal="center" vertical="center"/>
    </xf>
    <xf numFmtId="169" fontId="116" fillId="40" borderId="12" xfId="0" applyNumberFormat="1" applyFont="1" applyFill="1" applyBorder="1" applyAlignment="1">
      <alignment horizontal="center" vertical="center"/>
    </xf>
    <xf numFmtId="192" fontId="119" fillId="40" borderId="13" xfId="0" applyNumberFormat="1" applyFont="1" applyFill="1" applyBorder="1" applyAlignment="1">
      <alignment horizontal="center"/>
    </xf>
    <xf numFmtId="3" fontId="120" fillId="40" borderId="0" xfId="0" applyNumberFormat="1" applyFont="1" applyFill="1" applyAlignment="1">
      <alignment horizontal="left" vertical="center"/>
    </xf>
    <xf numFmtId="181" fontId="119" fillId="40" borderId="13" xfId="0" applyNumberFormat="1" applyFont="1" applyFill="1" applyBorder="1" applyAlignment="1">
      <alignment horizontal="center"/>
    </xf>
    <xf numFmtId="3" fontId="111" fillId="41" borderId="49" xfId="0" applyNumberFormat="1" applyFont="1" applyFill="1" applyBorder="1" applyAlignment="1">
      <alignment vertical="center"/>
    </xf>
    <xf numFmtId="3" fontId="98" fillId="41" borderId="0" xfId="0" applyNumberFormat="1" applyFont="1" applyFill="1" applyAlignment="1">
      <alignment vertical="center"/>
    </xf>
    <xf numFmtId="166" fontId="115" fillId="41" borderId="12" xfId="0" applyNumberFormat="1" applyFont="1" applyFill="1" applyBorder="1" applyAlignment="1">
      <alignment horizontal="center" vertical="center"/>
    </xf>
    <xf numFmtId="166" fontId="115" fillId="41" borderId="13" xfId="0" applyNumberFormat="1" applyFont="1" applyFill="1" applyBorder="1" applyAlignment="1">
      <alignment horizontal="center" vertical="center"/>
    </xf>
    <xf numFmtId="166" fontId="121" fillId="41" borderId="12" xfId="0" applyNumberFormat="1" applyFont="1" applyFill="1" applyBorder="1" applyAlignment="1">
      <alignment horizontal="center"/>
    </xf>
    <xf numFmtId="3" fontId="97" fillId="41" borderId="0" xfId="0" applyNumberFormat="1" applyFont="1" applyFill="1" applyAlignment="1">
      <alignment horizontal="left" vertical="center"/>
    </xf>
    <xf numFmtId="181" fontId="121" fillId="41" borderId="13" xfId="0" applyNumberFormat="1" applyFont="1" applyFill="1" applyBorder="1" applyAlignment="1" applyProtection="1">
      <alignment vertical="center"/>
      <protection locked="0"/>
    </xf>
    <xf numFmtId="165" fontId="115" fillId="41" borderId="12" xfId="0" applyNumberFormat="1" applyFont="1" applyFill="1" applyBorder="1" applyAlignment="1">
      <alignment horizontal="center" vertical="center"/>
    </xf>
    <xf numFmtId="197" fontId="121" fillId="41" borderId="13" xfId="0" applyNumberFormat="1" applyFont="1" applyFill="1" applyBorder="1" applyAlignment="1" applyProtection="1">
      <alignment vertical="center"/>
      <protection locked="0"/>
    </xf>
    <xf numFmtId="3" fontId="111" fillId="42" borderId="49" xfId="0" applyNumberFormat="1" applyFont="1" applyFill="1" applyBorder="1" applyAlignment="1">
      <alignment vertical="center"/>
    </xf>
    <xf numFmtId="172" fontId="121" fillId="42" borderId="13" xfId="0" applyNumberFormat="1" applyFont="1" applyFill="1" applyBorder="1" applyAlignment="1">
      <alignment horizontal="center"/>
    </xf>
    <xf numFmtId="168" fontId="115" fillId="42" borderId="12" xfId="0" applyNumberFormat="1" applyFont="1" applyFill="1" applyBorder="1" applyAlignment="1">
      <alignment horizontal="center" vertical="center"/>
    </xf>
    <xf numFmtId="3" fontId="98" fillId="42" borderId="0" xfId="0" applyNumberFormat="1" applyFont="1" applyFill="1" applyAlignment="1">
      <alignment vertical="center"/>
    </xf>
    <xf numFmtId="166" fontId="121" fillId="42" borderId="12" xfId="0" applyNumberFormat="1" applyFont="1" applyFill="1" applyBorder="1" applyAlignment="1" applyProtection="1">
      <alignment horizontal="center"/>
      <protection locked="0"/>
    </xf>
    <xf numFmtId="167" fontId="121" fillId="42" borderId="12" xfId="0" applyNumberFormat="1" applyFont="1" applyFill="1" applyBorder="1" applyAlignment="1">
      <alignment horizontal="center" vertical="center"/>
    </xf>
    <xf numFmtId="193" fontId="121" fillId="42" borderId="12" xfId="0" applyNumberFormat="1" applyFont="1" applyFill="1" applyBorder="1" applyAlignment="1">
      <alignment horizontal="center" vertical="center"/>
    </xf>
    <xf numFmtId="173" fontId="121" fillId="42" borderId="12" xfId="0" applyNumberFormat="1" applyFont="1" applyFill="1" applyBorder="1" applyAlignment="1">
      <alignment horizontal="center" vertical="center"/>
    </xf>
    <xf numFmtId="167" fontId="121" fillId="42" borderId="12" xfId="0" applyNumberFormat="1" applyFont="1" applyFill="1" applyBorder="1" applyAlignment="1" applyProtection="1">
      <alignment horizontal="center"/>
      <protection locked="0"/>
    </xf>
    <xf numFmtId="3" fontId="97" fillId="42" borderId="0" xfId="0" applyNumberFormat="1" applyFont="1" applyFill="1" applyAlignment="1">
      <alignment horizontal="left" vertical="center"/>
    </xf>
    <xf numFmtId="3" fontId="122" fillId="43" borderId="49" xfId="0" applyNumberFormat="1" applyFont="1" applyFill="1" applyBorder="1" applyAlignment="1">
      <alignment vertical="center"/>
    </xf>
    <xf numFmtId="166" fontId="109" fillId="43" borderId="13" xfId="0" applyNumberFormat="1" applyFont="1" applyFill="1" applyBorder="1" applyAlignment="1">
      <alignment horizontal="center" vertical="center"/>
    </xf>
    <xf numFmtId="3" fontId="87" fillId="43" borderId="0" xfId="0" applyNumberFormat="1" applyFont="1" applyFill="1" applyAlignment="1">
      <alignment vertical="center"/>
    </xf>
    <xf numFmtId="168" fontId="29" fillId="0" borderId="0" xfId="0" applyNumberFormat="1" applyFont="1" applyAlignment="1">
      <alignment vertical="center"/>
    </xf>
    <xf numFmtId="169" fontId="51" fillId="0" borderId="0" xfId="0" applyNumberFormat="1" applyFont="1" applyAlignment="1">
      <alignment vertical="center"/>
    </xf>
    <xf numFmtId="165" fontId="109" fillId="43" borderId="12" xfId="0" applyNumberFormat="1" applyFont="1" applyFill="1" applyBorder="1" applyAlignment="1">
      <alignment horizontal="center" vertical="center"/>
    </xf>
    <xf numFmtId="167" fontId="123" fillId="43" borderId="13" xfId="0" applyNumberFormat="1" applyFont="1" applyFill="1" applyBorder="1" applyAlignment="1">
      <alignment horizontal="center"/>
    </xf>
    <xf numFmtId="166" fontId="123" fillId="43" borderId="12" xfId="0" applyNumberFormat="1" applyFont="1" applyFill="1" applyBorder="1" applyAlignment="1">
      <alignment horizontal="center"/>
    </xf>
    <xf numFmtId="3" fontId="81" fillId="43" borderId="0" xfId="0" applyNumberFormat="1" applyFont="1" applyFill="1" applyAlignment="1">
      <alignment horizontal="left" vertical="center"/>
    </xf>
    <xf numFmtId="166" fontId="109" fillId="43" borderId="12" xfId="0" applyNumberFormat="1" applyFont="1" applyFill="1" applyBorder="1" applyAlignment="1">
      <alignment horizontal="center" vertical="center"/>
    </xf>
    <xf numFmtId="0" fontId="81" fillId="43" borderId="12" xfId="0" applyFont="1" applyFill="1" applyBorder="1" applyAlignment="1" applyProtection="1">
      <alignment vertical="center" wrapText="1"/>
      <protection locked="0"/>
    </xf>
    <xf numFmtId="169" fontId="124" fillId="44" borderId="12" xfId="0" applyNumberFormat="1" applyFont="1" applyFill="1" applyBorder="1" applyAlignment="1">
      <alignment horizontal="center" vertical="center"/>
    </xf>
    <xf numFmtId="3" fontId="125" fillId="44" borderId="0" xfId="0" applyNumberFormat="1" applyFont="1" applyFill="1" applyAlignment="1">
      <alignment vertical="center"/>
    </xf>
    <xf numFmtId="181" fontId="126" fillId="44" borderId="13" xfId="0" applyNumberFormat="1" applyFont="1" applyFill="1" applyBorder="1" applyAlignment="1" applyProtection="1">
      <alignment vertical="center"/>
      <protection locked="0"/>
    </xf>
    <xf numFmtId="172" fontId="124" fillId="44" borderId="13" xfId="0" applyNumberFormat="1" applyFont="1" applyFill="1" applyBorder="1" applyAlignment="1">
      <alignment horizontal="center" vertical="center"/>
    </xf>
    <xf numFmtId="184" fontId="124" fillId="44" borderId="13" xfId="0" applyNumberFormat="1" applyFont="1" applyFill="1" applyBorder="1" applyAlignment="1">
      <alignment horizontal="center" vertical="center"/>
    </xf>
    <xf numFmtId="166" fontId="124" fillId="44" borderId="13" xfId="0" applyNumberFormat="1" applyFont="1" applyFill="1" applyBorder="1" applyAlignment="1">
      <alignment horizontal="center" vertical="center"/>
    </xf>
    <xf numFmtId="167" fontId="124" fillId="44" borderId="12" xfId="0" applyNumberFormat="1" applyFont="1" applyFill="1" applyBorder="1" applyAlignment="1">
      <alignment horizontal="center" vertical="center"/>
    </xf>
    <xf numFmtId="4" fontId="51" fillId="0" borderId="0" xfId="0" applyNumberFormat="1" applyFont="1" applyAlignment="1">
      <alignment vertical="center"/>
    </xf>
    <xf numFmtId="3" fontId="127" fillId="44" borderId="0" xfId="0" applyNumberFormat="1" applyFont="1" applyFill="1" applyAlignment="1">
      <alignment vertical="center"/>
    </xf>
    <xf numFmtId="3" fontId="122" fillId="45" borderId="49" xfId="0" applyNumberFormat="1" applyFont="1" applyFill="1" applyBorder="1" applyAlignment="1">
      <alignment vertical="center"/>
    </xf>
    <xf numFmtId="167" fontId="109" fillId="45" borderId="12" xfId="0" applyNumberFormat="1" applyFont="1" applyFill="1" applyBorder="1" applyAlignment="1">
      <alignment horizontal="center" vertical="center"/>
    </xf>
    <xf numFmtId="3" fontId="87" fillId="45" borderId="0" xfId="0" applyNumberFormat="1" applyFont="1" applyFill="1" applyAlignment="1">
      <alignment vertical="center"/>
    </xf>
    <xf numFmtId="166" fontId="109" fillId="45" borderId="13" xfId="0" applyNumberFormat="1" applyFont="1" applyFill="1" applyBorder="1" applyAlignment="1">
      <alignment horizontal="center" vertical="center"/>
    </xf>
    <xf numFmtId="166" fontId="109" fillId="45" borderId="12" xfId="0" applyNumberFormat="1" applyFont="1" applyFill="1" applyBorder="1" applyAlignment="1">
      <alignment horizontal="center" vertical="center"/>
    </xf>
    <xf numFmtId="169" fontId="109" fillId="45" borderId="12" xfId="0" applyNumberFormat="1" applyFont="1" applyFill="1" applyBorder="1" applyAlignment="1">
      <alignment horizontal="center" vertical="center"/>
    </xf>
    <xf numFmtId="3" fontId="104" fillId="45" borderId="0" xfId="0" applyNumberFormat="1" applyFont="1" applyFill="1" applyAlignment="1">
      <alignment horizontal="left" vertical="center"/>
    </xf>
    <xf numFmtId="175" fontId="123" fillId="45" borderId="12" xfId="0" applyNumberFormat="1" applyFont="1" applyFill="1" applyBorder="1" applyAlignment="1">
      <alignment horizontal="center" vertical="center"/>
    </xf>
    <xf numFmtId="3" fontId="81" fillId="45" borderId="0" xfId="0" applyNumberFormat="1" applyFont="1" applyFill="1" applyAlignment="1">
      <alignment horizontal="left" vertical="center"/>
    </xf>
    <xf numFmtId="182" fontId="106" fillId="45" borderId="12" xfId="0" applyNumberFormat="1" applyFont="1" applyFill="1" applyBorder="1" applyAlignment="1">
      <alignment horizontal="center" vertical="center"/>
    </xf>
    <xf numFmtId="0" fontId="81" fillId="45" borderId="12" xfId="0" applyFont="1" applyFill="1" applyBorder="1" applyAlignment="1" applyProtection="1">
      <alignment vertical="center" wrapText="1"/>
      <protection locked="0"/>
    </xf>
    <xf numFmtId="3" fontId="111" fillId="46" borderId="49" xfId="0" applyNumberFormat="1" applyFont="1" applyFill="1" applyBorder="1" applyAlignment="1">
      <alignment vertical="center"/>
    </xf>
    <xf numFmtId="166" fontId="115" fillId="46" borderId="12" xfId="0" applyNumberFormat="1" applyFont="1" applyFill="1" applyBorder="1" applyAlignment="1">
      <alignment horizontal="center" vertical="center"/>
    </xf>
    <xf numFmtId="3" fontId="98" fillId="46" borderId="0" xfId="0" applyNumberFormat="1" applyFont="1" applyFill="1" applyAlignment="1">
      <alignment vertical="center"/>
    </xf>
    <xf numFmtId="166" fontId="115" fillId="46" borderId="13" xfId="0" applyNumberFormat="1" applyFont="1" applyFill="1" applyBorder="1" applyAlignment="1">
      <alignment horizontal="center" vertical="center"/>
    </xf>
    <xf numFmtId="3" fontId="97" fillId="46" borderId="0" xfId="0" applyNumberFormat="1" applyFont="1" applyFill="1" applyAlignment="1">
      <alignment horizontal="left" vertical="center"/>
    </xf>
    <xf numFmtId="166" fontId="121" fillId="46" borderId="12" xfId="0" applyNumberFormat="1" applyFont="1" applyFill="1" applyBorder="1" applyAlignment="1">
      <alignment horizontal="center"/>
    </xf>
    <xf numFmtId="0" fontId="1" fillId="47" borderId="12" xfId="0" applyFont="1" applyFill="1" applyBorder="1" applyAlignment="1" applyProtection="1">
      <alignment vertical="center" wrapText="1"/>
      <protection locked="0"/>
    </xf>
    <xf numFmtId="3" fontId="1" fillId="47" borderId="13" xfId="0" applyNumberFormat="1" applyFont="1" applyFill="1" applyBorder="1" applyAlignment="1" applyProtection="1">
      <alignment vertical="center"/>
      <protection locked="0"/>
    </xf>
    <xf numFmtId="167" fontId="70" fillId="47" borderId="13" xfId="0" applyNumberFormat="1" applyFont="1" applyFill="1" applyBorder="1" applyAlignment="1">
      <alignment horizontal="center" vertical="center"/>
    </xf>
    <xf numFmtId="0" fontId="1" fillId="47" borderId="13" xfId="0" applyFont="1" applyFill="1" applyBorder="1" applyAlignment="1" applyProtection="1">
      <alignment horizontal="center" vertical="center"/>
      <protection locked="0"/>
    </xf>
    <xf numFmtId="3" fontId="1" fillId="47" borderId="12" xfId="0" applyNumberFormat="1" applyFont="1" applyFill="1" applyBorder="1" applyAlignment="1" applyProtection="1">
      <alignment vertical="center"/>
      <protection locked="0"/>
    </xf>
    <xf numFmtId="3" fontId="4" fillId="47" borderId="13" xfId="0" applyNumberFormat="1" applyFont="1" applyFill="1" applyBorder="1" applyAlignment="1" applyProtection="1">
      <alignment horizontal="center" vertical="center"/>
      <protection locked="0"/>
    </xf>
    <xf numFmtId="0" fontId="29" fillId="47" borderId="0" xfId="0" applyFont="1" applyFill="1" applyAlignment="1">
      <alignment vertical="center"/>
    </xf>
    <xf numFmtId="3" fontId="78" fillId="47" borderId="0" xfId="0" applyNumberFormat="1" applyFont="1" applyFill="1" applyAlignment="1">
      <alignment vertical="center"/>
    </xf>
    <xf numFmtId="0" fontId="1" fillId="47" borderId="13" xfId="0" applyFont="1" applyFill="1" applyBorder="1" applyAlignment="1" applyProtection="1">
      <alignment vertical="center" wrapText="1"/>
      <protection locked="0"/>
    </xf>
    <xf numFmtId="167" fontId="70" fillId="47" borderId="12" xfId="0" applyNumberFormat="1" applyFont="1" applyFill="1" applyBorder="1" applyAlignment="1">
      <alignment horizontal="center" vertical="center"/>
    </xf>
    <xf numFmtId="172" fontId="53" fillId="48" borderId="13" xfId="0" applyNumberFormat="1" applyFont="1" applyFill="1" applyBorder="1" applyAlignment="1">
      <alignment horizontal="center"/>
    </xf>
    <xf numFmtId="182" fontId="53" fillId="48" borderId="13" xfId="0" applyNumberFormat="1" applyFont="1" applyFill="1" applyBorder="1" applyAlignment="1">
      <alignment horizontal="center"/>
    </xf>
    <xf numFmtId="0" fontId="29" fillId="48" borderId="0" xfId="0" applyFont="1" applyFill="1" applyAlignment="1">
      <alignment horizontal="left" vertical="center"/>
    </xf>
    <xf numFmtId="166" fontId="70" fillId="48" borderId="12" xfId="0" applyNumberFormat="1" applyFont="1" applyFill="1" applyBorder="1" applyAlignment="1">
      <alignment horizontal="center" vertical="center"/>
    </xf>
    <xf numFmtId="3" fontId="29" fillId="48" borderId="0" xfId="0" applyNumberFormat="1" applyFont="1" applyFill="1" applyAlignment="1">
      <alignment vertical="center"/>
    </xf>
    <xf numFmtId="0" fontId="1" fillId="48" borderId="12" xfId="0" applyFont="1" applyFill="1" applyBorder="1" applyAlignment="1" applyProtection="1">
      <alignment vertical="center" wrapText="1"/>
      <protection locked="0"/>
    </xf>
    <xf numFmtId="3" fontId="1" fillId="48" borderId="12" xfId="0" applyNumberFormat="1" applyFont="1" applyFill="1" applyBorder="1" applyProtection="1">
      <protection locked="0"/>
    </xf>
    <xf numFmtId="3" fontId="1" fillId="48" borderId="13" xfId="0" applyNumberFormat="1" applyFont="1" applyFill="1" applyBorder="1" applyProtection="1">
      <protection locked="0"/>
    </xf>
    <xf numFmtId="3" fontId="81" fillId="48" borderId="0" xfId="0" applyNumberFormat="1" applyFont="1" applyFill="1" applyAlignment="1">
      <alignment horizontal="left" vertical="center"/>
    </xf>
    <xf numFmtId="0" fontId="29" fillId="48" borderId="0" xfId="0" applyFont="1" applyFill="1" applyAlignment="1">
      <alignment horizontal="right"/>
    </xf>
    <xf numFmtId="0" fontId="0" fillId="48" borderId="0" xfId="0" applyFill="1" applyAlignment="1">
      <alignment horizontal="right"/>
    </xf>
    <xf numFmtId="3" fontId="4" fillId="48" borderId="0" xfId="0" applyNumberFormat="1" applyFont="1" applyFill="1" applyAlignment="1">
      <alignment horizontal="left" vertical="center"/>
    </xf>
    <xf numFmtId="3" fontId="112" fillId="48" borderId="49" xfId="0" applyNumberFormat="1" applyFont="1" applyFill="1" applyBorder="1" applyAlignment="1">
      <alignment vertical="center"/>
    </xf>
    <xf numFmtId="3" fontId="112" fillId="49" borderId="49" xfId="0" applyNumberFormat="1" applyFont="1" applyFill="1" applyBorder="1" applyAlignment="1">
      <alignment vertical="center"/>
    </xf>
    <xf numFmtId="166" fontId="115" fillId="49" borderId="13" xfId="0" applyNumberFormat="1" applyFont="1" applyFill="1" applyBorder="1" applyAlignment="1">
      <alignment horizontal="center" vertical="center"/>
    </xf>
    <xf numFmtId="188" fontId="70" fillId="49" borderId="12" xfId="0" applyNumberFormat="1" applyFont="1" applyFill="1" applyBorder="1" applyAlignment="1" applyProtection="1">
      <alignment horizontal="center" vertical="center"/>
      <protection locked="0"/>
    </xf>
    <xf numFmtId="166" fontId="70" fillId="49" borderId="13" xfId="0" applyNumberFormat="1" applyFont="1" applyFill="1" applyBorder="1" applyAlignment="1">
      <alignment horizontal="center" vertical="center"/>
    </xf>
    <xf numFmtId="3" fontId="103" fillId="49" borderId="0" xfId="0" applyNumberFormat="1" applyFont="1" applyFill="1" applyAlignment="1">
      <alignment vertical="center"/>
    </xf>
    <xf numFmtId="166" fontId="115" fillId="49" borderId="12" xfId="0" applyNumberFormat="1" applyFont="1" applyFill="1" applyBorder="1" applyAlignment="1">
      <alignment horizontal="center" vertical="center"/>
    </xf>
    <xf numFmtId="3" fontId="98" fillId="49" borderId="0" xfId="0" applyNumberFormat="1" applyFont="1" applyFill="1" applyAlignment="1">
      <alignment vertical="center"/>
    </xf>
    <xf numFmtId="167" fontId="53" fillId="49" borderId="12" xfId="0" applyNumberFormat="1" applyFont="1" applyFill="1" applyBorder="1" applyAlignment="1">
      <alignment horizontal="center"/>
    </xf>
    <xf numFmtId="3" fontId="1" fillId="49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/>
    </xf>
    <xf numFmtId="42" fontId="4" fillId="0" borderId="0" xfId="0" applyNumberFormat="1" applyFont="1" applyAlignment="1" applyProtection="1">
      <alignment horizontal="center" vertical="center"/>
      <protection locked="0"/>
    </xf>
    <xf numFmtId="0" fontId="30" fillId="27" borderId="0" xfId="0" applyFont="1" applyFill="1" applyAlignment="1">
      <alignment horizontal="center" vertical="center" wrapText="1"/>
    </xf>
    <xf numFmtId="3" fontId="92" fillId="30" borderId="0" xfId="0" applyNumberFormat="1" applyFont="1" applyFill="1" applyAlignment="1">
      <alignment horizontal="center"/>
    </xf>
    <xf numFmtId="0" fontId="93" fillId="30" borderId="0" xfId="0" applyFont="1" applyFill="1" applyAlignment="1">
      <alignment horizontal="center" vertical="center"/>
    </xf>
    <xf numFmtId="0" fontId="71" fillId="27" borderId="0" xfId="0" applyFont="1" applyFill="1" applyAlignment="1">
      <alignment horizontal="center" wrapText="1"/>
    </xf>
    <xf numFmtId="0" fontId="114" fillId="38" borderId="0" xfId="0" applyFont="1" applyFill="1" applyAlignment="1">
      <alignment horizontal="left" vertical="center"/>
    </xf>
    <xf numFmtId="0" fontId="114" fillId="31" borderId="0" xfId="0" applyFont="1" applyFill="1" applyAlignment="1">
      <alignment horizontal="left" vertical="center"/>
    </xf>
    <xf numFmtId="0" fontId="114" fillId="36" borderId="0" xfId="0" applyFont="1" applyFill="1" applyAlignment="1">
      <alignment horizontal="left" vertical="center"/>
    </xf>
    <xf numFmtId="0" fontId="16" fillId="27" borderId="0" xfId="0" applyFont="1" applyFill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58" fillId="0" borderId="0" xfId="35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29" fillId="0" borderId="39" xfId="0" applyFont="1" applyBorder="1" applyAlignment="1">
      <alignment horizontal="center"/>
    </xf>
    <xf numFmtId="0" fontId="29" fillId="0" borderId="0" xfId="0" applyFont="1" applyAlignment="1">
      <alignment horizontal="center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Százalék" xfId="46" builtinId="5"/>
    <cellStyle name="ᨚᨚᨚᨚᨚᨚᨚ" xfId="44" xr:uid="{00000000-0005-0000-0000-00002D000000}"/>
    <cellStyle name="ᨚᨚᨚᨚᨚᨚᨚᨚᨚ_x001a_" xfId="45" xr:uid="{00000000-0005-0000-0000-00002E000000}"/>
  </cellStyles>
  <dxfs count="0"/>
  <tableStyles count="0" defaultTableStyle="TableStyleMedium2" defaultPivotStyle="PivotStyleLight16"/>
  <colors>
    <mruColors>
      <color rgb="FFB595E3"/>
      <color rgb="FFF4B084"/>
      <color rgb="FF008000"/>
      <color rgb="FFFFFFCC"/>
      <color rgb="FF879990"/>
      <color rgb="FFCCECFF"/>
      <color rgb="FF3333CC"/>
      <color rgb="FFB818A9"/>
      <color rgb="FF8A448C"/>
      <color rgb="FFC8F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7.emf"/><Relationship Id="rId2" Type="http://schemas.openxmlformats.org/officeDocument/2006/relationships/image" Target="../media/image10.emf"/><Relationship Id="rId1" Type="http://schemas.openxmlformats.org/officeDocument/2006/relationships/customXml" Target="../ink/ink3.xml"/><Relationship Id="rId6" Type="http://schemas.openxmlformats.org/officeDocument/2006/relationships/image" Target="../media/image4.emf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0" Type="http://schemas.openxmlformats.org/officeDocument/2006/relationships/image" Target="../media/image6.emf"/><Relationship Id="rId4" Type="http://schemas.openxmlformats.org/officeDocument/2006/relationships/image" Target="../media/image20.emf"/><Relationship Id="rId9" Type="http://schemas.openxmlformats.org/officeDocument/2006/relationships/customXml" Target="../ink/ink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ustomXml" Target="../ink/ink9.xml"/><Relationship Id="rId4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24</xdr:row>
      <xdr:rowOff>252598</xdr:rowOff>
    </xdr:from>
    <xdr:to>
      <xdr:col>6</xdr:col>
      <xdr:colOff>151685</xdr:colOff>
      <xdr:row>25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  <xdr:twoCellAnchor>
    <xdr:from>
      <xdr:col>6</xdr:col>
      <xdr:colOff>604150</xdr:colOff>
      <xdr:row>22</xdr:row>
      <xdr:rowOff>12787</xdr:rowOff>
    </xdr:from>
    <xdr:to>
      <xdr:col>9</xdr:col>
      <xdr:colOff>603155</xdr:colOff>
      <xdr:row>25</xdr:row>
      <xdr:rowOff>485585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8274614" y="7134459"/>
            <a:ext cx="2932200" cy="1665000"/>
          </xdr14:xfrm>
        </xdr:contentPart>
      </mc:Choice>
      <mc:Fallback xmlns="">
        <xdr:pic>
          <xdr:nvPicPr>
            <xdr:cNvPr id="5" name="Szabadkéz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69574" y="7129419"/>
              <a:ext cx="2939760" cy="1675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379510</xdr:colOff>
      <xdr:row>24</xdr:row>
      <xdr:rowOff>236648</xdr:rowOff>
    </xdr:from>
    <xdr:to>
      <xdr:col>7</xdr:col>
      <xdr:colOff>542219</xdr:colOff>
      <xdr:row>24</xdr:row>
      <xdr:rowOff>495128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9" name="Szabadkéz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14:cNvPr>
            <xdr14:cNvContentPartPr/>
          </xdr14:nvContentPartPr>
          <xdr14:nvPr macro=""/>
          <xdr14:xfrm>
            <a:off x="8049974" y="7976499"/>
            <a:ext cx="1600920" cy="258480"/>
          </xdr14:xfrm>
        </xdr:contentPart>
      </mc:Choice>
      <mc:Fallback xmlns="">
        <xdr:pic>
          <xdr:nvPicPr>
            <xdr:cNvPr id="29" name="Szabadkéz 28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045294" y="7975419"/>
              <a:ext cx="1606680" cy="2638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154946</xdr:colOff>
      <xdr:row>135</xdr:row>
      <xdr:rowOff>135083</xdr:rowOff>
    </xdr:from>
    <xdr:to>
      <xdr:col>12</xdr:col>
      <xdr:colOff>695110</xdr:colOff>
      <xdr:row>136</xdr:row>
      <xdr:rowOff>1004901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10433663" y="43784431"/>
            <a:ext cx="3447360" cy="1830600"/>
          </xdr14:xfrm>
        </xdr:contentPart>
      </mc:Choice>
      <mc:Fallback xmlns="">
        <xdr:pic>
          <xdr:nvPicPr>
            <xdr:cNvPr id="5" name="Szabadkéz 4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430783" y="43780471"/>
              <a:ext cx="3450960" cy="18392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553920</xdr:colOff>
      <xdr:row>135</xdr:row>
      <xdr:rowOff>480323</xdr:rowOff>
    </xdr:from>
    <xdr:to>
      <xdr:col>6</xdr:col>
      <xdr:colOff>787200</xdr:colOff>
      <xdr:row>135</xdr:row>
      <xdr:rowOff>609563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8" name="Szabadkéz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14:cNvPr>
            <xdr14:cNvContentPartPr/>
          </xdr14:nvContentPartPr>
          <xdr14:nvPr macro=""/>
          <xdr14:xfrm>
            <a:off x="8248463" y="44129671"/>
            <a:ext cx="233280" cy="129240"/>
          </xdr14:xfrm>
        </xdr:contentPart>
      </mc:Choice>
      <mc:Fallback xmlns="">
        <xdr:pic>
          <xdr:nvPicPr>
            <xdr:cNvPr id="18" name="Szabadkéz 17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245223" y="44126431"/>
              <a:ext cx="239760" cy="135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11</xdr:col>
      <xdr:colOff>780709</xdr:colOff>
      <xdr:row>136</xdr:row>
      <xdr:rowOff>593781</xdr:rowOff>
    </xdr:from>
    <xdr:to>
      <xdr:col>12</xdr:col>
      <xdr:colOff>397390</xdr:colOff>
      <xdr:row>136</xdr:row>
      <xdr:rowOff>821661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9" name="Szabadkéz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14:cNvPr>
            <xdr14:cNvContentPartPr/>
          </xdr14:nvContentPartPr>
          <xdr14:nvPr macro=""/>
          <xdr14:xfrm>
            <a:off x="13080383" y="45203911"/>
            <a:ext cx="502920" cy="227880"/>
          </xdr14:xfrm>
        </xdr:contentPart>
      </mc:Choice>
      <mc:Fallback xmlns="">
        <xdr:pic>
          <xdr:nvPicPr>
            <xdr:cNvPr id="29" name="Szabadkéz 28"/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3077503" y="45199951"/>
              <a:ext cx="506520" cy="235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525910</xdr:colOff>
      <xdr:row>136</xdr:row>
      <xdr:rowOff>901941</xdr:rowOff>
    </xdr:from>
    <xdr:to>
      <xdr:col>12</xdr:col>
      <xdr:colOff>570910</xdr:colOff>
      <xdr:row>136</xdr:row>
      <xdr:rowOff>920301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30" name="Szabadkéz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14:cNvPr>
            <xdr14:cNvContentPartPr/>
          </xdr14:nvContentPartPr>
          <xdr14:nvPr macro=""/>
          <xdr14:xfrm>
            <a:off x="13711823" y="45512071"/>
            <a:ext cx="45000" cy="18360"/>
          </xdr14:xfrm>
        </xdr:contentPart>
      </mc:Choice>
      <mc:Fallback xmlns="">
        <xdr:pic>
          <xdr:nvPicPr>
            <xdr:cNvPr id="30" name="Szabadkéz 29"/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3711103" y="45508111"/>
              <a:ext cx="50040" cy="23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1389459</xdr:colOff>
      <xdr:row>220</xdr:row>
      <xdr:rowOff>186359</xdr:rowOff>
    </xdr:from>
    <xdr:to>
      <xdr:col>13</xdr:col>
      <xdr:colOff>296583</xdr:colOff>
      <xdr:row>220</xdr:row>
      <xdr:rowOff>186359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3067937" y="44622555"/>
          <a:ext cx="4000929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81064</xdr:colOff>
      <xdr:row>67</xdr:row>
      <xdr:rowOff>154022</xdr:rowOff>
    </xdr:from>
    <xdr:to>
      <xdr:col>9</xdr:col>
      <xdr:colOff>113490</xdr:colOff>
      <xdr:row>70</xdr:row>
      <xdr:rowOff>145915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0165404" y="15402128"/>
          <a:ext cx="2334639" cy="94034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1422750</xdr:colOff>
      <xdr:row>87</xdr:row>
      <xdr:rowOff>236988</xdr:rowOff>
    </xdr:from>
    <xdr:to>
      <xdr:col>9</xdr:col>
      <xdr:colOff>231577</xdr:colOff>
      <xdr:row>88</xdr:row>
      <xdr:rowOff>251213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244991" y="18921089"/>
          <a:ext cx="2862760" cy="29300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0768165" y="4427797"/>
            <a:ext cx="408389" cy="713657"/>
          </xdr14:xfrm>
        </xdr:contentPart>
      </mc:Choice>
      <mc:Fallback xmlns="">
        <xdr:pic>
          <xdr:nvPicPr>
            <xdr:cNvPr id="8" name="Szabadkéz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734673" y="4402930"/>
              <a:ext cx="472492" cy="7702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1424638</xdr:colOff>
      <xdr:row>91</xdr:row>
      <xdr:rowOff>132973</xdr:rowOff>
    </xdr:from>
    <xdr:to>
      <xdr:col>9</xdr:col>
      <xdr:colOff>233465</xdr:colOff>
      <xdr:row>92</xdr:row>
      <xdr:rowOff>162532</xdr:rowOff>
    </xdr:to>
    <xdr:cxnSp macro="">
      <xdr:nvCxnSpPr>
        <xdr:cNvPr id="29" name="Egyenes összekötő nyíllal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9510755" y="22922042"/>
          <a:ext cx="2608694" cy="3132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1596957</xdr:colOff>
      <xdr:row>72</xdr:row>
      <xdr:rowOff>243191</xdr:rowOff>
    </xdr:from>
    <xdr:to>
      <xdr:col>8</xdr:col>
      <xdr:colOff>559340</xdr:colOff>
      <xdr:row>75</xdr:row>
      <xdr:rowOff>129702</xdr:rowOff>
    </xdr:to>
    <xdr:cxnSp macro="">
      <xdr:nvCxnSpPr>
        <xdr:cNvPr id="4" name="Egyenes összekötő nyíll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076234" y="16982872"/>
          <a:ext cx="2286000" cy="113489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83.97339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2-22T06:51:08.767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C1400676-00D6-4339-A26B-383EAF0ADC18}" emma:medium="tactile" emma:mode="ink">
          <msink:context xmlns:msink="http://schemas.microsoft.com/ink/2010/main" type="writingRegion" rotatedBoundingBox="22948,19858 31125,19792 31162,24378 22985,24444"/>
        </emma:interpretation>
      </emma:emma>
    </inkml:annotationXML>
    <inkml:traceGroup>
      <inkml:annotationXML>
        <emma:emma xmlns:emma="http://www.w3.org/2003/04/emma" version="1.0">
          <emma:interpretation id="{07436D19-32AC-42F8-B1A4-E73A9C819E37}" emma:medium="tactile" emma:mode="ink">
            <msink:context xmlns:msink="http://schemas.microsoft.com/ink/2010/main" type="paragraph" rotatedBoundingBox="25343,19901 31114,19725 31147,20778 25375,20954" alignmentLevel="3"/>
          </emma:interpretation>
        </emma:emma>
      </inkml:annotationXML>
      <inkml:traceGroup>
        <inkml:annotationXML>
          <emma:emma xmlns:emma="http://www.w3.org/2003/04/emma" version="1.0">
            <emma:interpretation id="{8D7D44DD-EACE-4B0D-AE7B-468C43DE9F73}" emma:medium="tactile" emma:mode="ink">
              <msink:context xmlns:msink="http://schemas.microsoft.com/ink/2010/main" type="line" rotatedBoundingBox="25343,19901 31114,19725 31147,20778 25375,20954"/>
            </emma:interpretation>
          </emma:emma>
        </inkml:annotationXML>
        <inkml:traceGroup>
          <inkml:annotationXML>
            <emma:emma xmlns:emma="http://www.w3.org/2003/04/emma" version="1.0">
              <emma:interpretation id="{CDE6B3C4-9215-4E7A-838D-FA5C24B77AA1}" emma:medium="tactile" emma:mode="ink">
                <msink:context xmlns:msink="http://schemas.microsoft.com/ink/2010/main" type="inkWord" rotatedBoundingBox="25343,19901 28138,19816 28170,20868 25375,20954"/>
              </emma:interpretation>
            </emma:emma>
          </inkml:annotationXML>
          <inkml:trace contextRef="#ctx0" brushRef="#br0">646 346 385 0,'0'0'152'16,"-13"-20"-4"-16,8 0-111 16,5 2-25-16,2-11 8 15,10 7-3-15,1-13 3 16,10 8-3-16,0-11 4 16,6 7-5-16,-6-4 3 15,10 11-5-15,-9 1-2 16,-1 12-3-16,-5-2-3 15,-1 13-1-15,-8 0-2 16,-1 15 2-16,-7 8-4 16,-2 10 1-16,-10 9-2 0,-1 0 3 15,-14 9-6-15,2 0 5 16,-12 1 1 0,-6 2-3-16,-6-5 2 15,-2-1 0-15,-5-5 1 0,1-4-3 16,3 1 3-16,-1-11-3 15,4-3-2-15,4-3 2 16,6-7-2-16,8-4 1 16,-1-8-1-16,5-2 3 15,0-2-1-15,8-2 0 16,0 0 1-16,0-5 0 16,7 4 0-16,3-3 0 0,8 6 0 15,-10-9 0-15,10 9 3 16,1-8 3-16,-1 8 2 15,25-5 2-15,-4 2 0 16,8 3 0-16,4 0 1 16,13 0-2-16,4 3-3 15,6 2-2-15,6 1-5 16,2-1 0-16,-3 3 0 16,-4-3 0-16,2 4-5 15,-7-7-7-15,-6 7-13 16,-9-9-26-16,8 8-52 15,-16-8-73-15,5 0-8 16,-5-8-15-16,-1-3-5 0</inkml:trace>
          <inkml:trace contextRef="#ctx0" brushRef="#br0" timeOffset="694.42">1269 613 675 0,'13'0'186'16,"-13"0"-24"-16,5-5-162 0,-5 5 0 15,-5-17 0 1,-5 8 0-16,-1-6 0 15,-4-1 0-15,2-4 0 16,-2 1 0-16,3 1 0 0,-1 3 0 16,4 2 0-16,9 13 0 15,-13-17-38-15,21 17-138 16,-8 0-10-16,7 17-13 16,-1-4-12-16,5 2-2 15</inkml:trace>
          <inkml:trace contextRef="#ctx0" brushRef="#br0" timeOffset="1614.28">1603 74 576 0,'-14'0'168'0,"14"0"-4"15,0 0-149-15,0 0-15 16,-6 0 2-16,6 0-2 15,-12 12 1-15,5-1-4 16,2 10 3-16,1 1-2 16,4 8 2-16,4 6-4 15,8 1 4-15,1 7 0 16,5 2-2-16,6 1 3 0,1 6-1 16,1-7 3-16,1 6-1 15,3-1 1-15,-13 4-1 16,3-1-3-1,-3-1 4-15,-8-6 0 0,-4-2-2 16,-5-7 2-16,0-4-3 16,-7-7 4-16,-3-10-5 15,-6-9 6-15,-2-5-6 16,2-4 1-16,-13-9 2 16,8-6-5-16,-6-6 4 15,4-4-4-15,-11-2 5 16,6-3-4-16,0-5 4 15,1 3-2-15,4 2 0 0,2-6 4 16,6 8-3-16,3 0 3 16,8 0-4-1,7 4 2-15,10 1-2 16,12-3 2-16,4 2 0 0,11 3-4 16,1-2 7-16,4-1-3 15,-1-2 8-15,-6 3-4 16,1 0 5-16,-9-1-1 15,-4-2 1-15,-5 0 3 16,-3-1-14-16,-6 6 0 16,2-5 0-16,-4 5 0 15,-5 4 0-15,-3-1 0 16,-2 6 0-16,-7 5 0 0,-9 4 0 16,-4 4 0-16,-7 4 0 15,6 9 0 1,-16-5-68-16,15 16-108 15,-5 1-9-15,0 3-11 0,4-4-18 16</inkml:trace>
          <inkml:trace contextRef="#ctx0" brushRef="#br0" timeOffset="2779.05">2170 346 454 0,'5'-19'165'0,"2"-8"-5"16,0-7-116-16,17 5-24 16,-7-9 3-1,12 7-6-15,-7-4-1 0,3 9-6 16,-3 0 1-16,2 13-4 16,-7 6-2-16,-3 7-2 15,-2 10-5-15,-7 14-1 16,-3 13-5-16,-2 4 5 15,-4 7 0-15,-10 4-1 16,0 2 3-16,-5 1 0 16,-7-3 2-16,1-7 0 15,-3 1 2-15,-1-12-3 0,-1 2-1 16,-4-8 2 0,0-1-2-16,4-3 2 15,-4-8-3-15,6-2 2 16,-5-3 0-16,8-7 0 0,1-2 1 15,6-2-1-15,5-3 2 16,0-6-2-16,9-3 4 16,4-2-2-16,0-1 3 15,10 3-1-15,7-2 3 16,4 6 0-16,3-5 2 16,6 11-1-16,3 0 0 15,3 2 1-15,0 0-2 16,4 4-1-16,-2 0-2 15,-2 0-2-15,0 4-6 0,-4-8-12 16,2 13-47 0,-13-11-96-16,-4-2-19 15,-1 4-12-15,-5-4-14 0</inkml:trace>
          <inkml:trace contextRef="#ctx0" brushRef="#br0" timeOffset="3315.41">2604 805 455 0,'0'-15'170'0,"10"-10"-11"16,8-3-79-16,-2-15-76 16,4-5-3-16,5-10-1 15,1-4 0-15,1-5 2 16,-6-2 0-16,3-3 3 15,-3 4 2-15,-2 1 0 16,2 5 0-16,-4 2 2 16,3 5-2-16,-2 12-2 0,-3 10 2 15,1 7-7-15,-2 8 5 16,-1 11-5-16,-2 7 4 16,-6 11 3-16,-1 8-5 15,-4 14 3-15,0 9-2 16,0 9 2-16,-4 15-2 15,-1 4 2-15,-5 3-5 16,5 6 1-16,-4 2 0 16,4-6-2-16,1-7-5 15,4-7-19-15,0-19-56 16,7-8-89-16,7-14-5 16,2-18-17-16,6-11-10 15</inkml:trace>
        </inkml:traceGroup>
        <inkml:traceGroup>
          <inkml:annotationXML>
            <emma:emma xmlns:emma="http://www.w3.org/2003/04/emma" version="1.0">
              <emma:interpretation id="{48A82246-47D0-4765-9717-EF8D64B9B94B}" emma:medium="tactile" emma:mode="ink">
                <msink:context xmlns:msink="http://schemas.microsoft.com/ink/2010/main" type="inkWord" rotatedBoundingBox="28611,19823 31115,19747 31146,20752 28642,20829"/>
              </emma:interpretation>
            </emma:emma>
          </inkml:annotationXML>
          <inkml:trace contextRef="#ctx0" brushRef="#br0" timeOffset="4771.38">3496 417 312 0,'8'-27'154'0,"-8"-19"-12"16,0 2-96-16,5 2-18 15,-3-6-5-15,5 5-9 16,-1-6 1-16,12 2-3 0,-9 3-3 16,4 9 3-16,-2 1-2 15,6 7 4 1,-14 4-6-16,9 7 1 0,-10 6-7 16,-2 10 4-16,0 0 4 15,0 18-6-15,-9 8 4 16,3 9-7-16,-4 12-1 15,-4 11 0-15,4 13 4 16,-3 4-6-16,1 4 5 16,0 4 3-16,5-7 2 15,2 3 3-15,2-11-1 16,3-2 1-16,0-14-3 16,3-2 5-16,4-15-7 0,1-5 1 15,8-7-7-15,-7-6 0 16,2-6-4-16,-4-10-6 15,3-1-18 1,-10-9-49-16,13-6-79 0,-10-5-19 16,-3-5-9-16,-1-5-11 15</inkml:trace>
          <inkml:trace contextRef="#ctx0" brushRef="#br0" timeOffset="5286.72">3802 202 568 0,'11'-3'166'15,"-11"3"-5"-15,-2 6-151 16,2 3-15-16,0 3 0 15,0 3 3-15,-4-5-2 16,-1 5 3-16,0 0-2 16,0-2 2-16,-1-1-3 15,0 0 1-15,4 3-3 16,1-8 2-16,2 2 1 0,7 0 0 16,5 0 0-1,3-2 2-15,6 1 6 16,5 5-2-16,5-4 5 15,2 4-6-15,2-3 5 0,-1 5-4 16,-1-7 9-16,0 9-4 16,-7-5 1-16,0 4 2 15,-13 0 1-15,-5 4 1 16,-6 0-2-16,-3 3 1 16,-6-2-7-16,-6 1 1 15,-12 3-4-15,5-4 0 16,-6-4-3-16,-7-5-3 15,4-1-7-15,-3-5-13 16,3 3-47-16,-8-18-59 16,5-6-45-16,3-3-12 15,-2-12-13-15</inkml:trace>
          <inkml:trace contextRef="#ctx0" brushRef="#br0" timeOffset="5515.88">3777 133 602 0,'19'0'177'0,"5"0"-3"16,5 8-133-16,9-8-39 16,7 0-1-16,6 0 0 15,1-6-2-15,1-1 0 16,-1-7-7-16,-3-3-7 15,-8-6-27-15,8 15-52 0,-20-9-77 16,-3 2-11-16,-9 4-11 16,-7 3-11-16</inkml:trace>
          <inkml:trace contextRef="#ctx0" brushRef="#br0" timeOffset="6023.22">4582 155 601 0,'0'0'166'16,"-15"0"-7"-16,-3 0-158 16,-3 12-5-16,-1 4 0 15,2 3 1-15,-7 8-1 16,3 2 3-16,0 7 2 16,6 3-3-16,9-1 3 15,0 0-4-15,9-3 4 16,10 0-3-16,8-4 7 15,11-6-2-15,9-3 2 0,4-7 5 16,6-11-1-16,8-4 1 16,-1-5 2-16,0-10-1 15,-4-12-3-15,-2 0 3 16,-13-5-4-16,-8-4 2 16,-12-4-5-16,-6-3 3 15,-14 2-4-15,-15 2-1 16,-6 5-2-16,-10 3-6 15,-8 8-14-15,-12-1-38 16,19 20-84-16,-14 4-37 16,2 0-10-16,4 12-16 15,6-1-1-15</inkml:trace>
          <inkml:trace contextRef="#ctx0" brushRef="#br0" timeOffset="6787.72">4959 806 741 0,'-16'0'182'15,"11"9"-82"-15,5-9-100 0,-2-9 0 16,2 9 0-16,8-13 0 16,-8 13 0-16,12-15 0 15,-1 15-25-15,-11-13-97 16,0 13-58-16,0 0-12 15,0 0-12-15,0 0-12 16</inkml:trace>
          <inkml:trace contextRef="#ctx0" brushRef="#br0" timeOffset="7099.92">5268 560 631 0,'-12'-1'171'0,"12"-7"-3"16,11-8-166-16,6 0-4 15,6-3 10-15,8-2-5 16,17 1 3-16,14-5-4 16,11 2 1-16,15 0-13 0,15-9-55 15,15 2-104 1,15-2-9-16,2-18-13 16</inkml:trace>
        </inkml:traceGroup>
      </inkml:traceGroup>
    </inkml:traceGroup>
    <inkml:traceGroup>
      <inkml:annotationXML>
        <emma:emma xmlns:emma="http://www.w3.org/2003/04/emma" version="1.0">
          <emma:interpretation id="{3DB25261-858A-4EF2-ABAB-3BE7D66461F9}" emma:medium="tactile" emma:mode="ink">
            <msink:context xmlns:msink="http://schemas.microsoft.com/ink/2010/main" type="paragraph" rotatedBoundingBox="25571,21011 30964,20975 30970,21831 25577,21868" alignmentLevel="3"/>
          </emma:interpretation>
        </emma:emma>
      </inkml:annotationXML>
      <inkml:traceGroup>
        <inkml:annotationXML>
          <emma:emma xmlns:emma="http://www.w3.org/2003/04/emma" version="1.0">
            <emma:interpretation id="{F081D434-2063-4F83-A9D0-98DC5CBCFA70}" emma:medium="tactile" emma:mode="ink">
              <msink:context xmlns:msink="http://schemas.microsoft.com/ink/2010/main" type="line" rotatedBoundingBox="25571,21011 30964,20975 30970,21831 25577,21868"/>
            </emma:interpretation>
          </emma:emma>
        </inkml:annotationXML>
        <inkml:traceGroup>
          <inkml:annotationXML>
            <emma:emma xmlns:emma="http://www.w3.org/2003/04/emma" version="1.0">
              <emma:interpretation id="{0ABC1748-9207-4D5F-98E5-4FB7BAB0F8C1}" emma:medium="tactile" emma:mode="ink">
                <msink:context xmlns:msink="http://schemas.microsoft.com/ink/2010/main" type="inkWord" rotatedBoundingBox="25571,21011 30964,20975 30970,21831 25577,21868"/>
              </emma:interpretation>
            </emma:emma>
          </inkml:annotationXML>
          <inkml:trace contextRef="#ctx0" brushRef="#br0" timeOffset="10385.12">1235 1794 714 0,'14'-9'191'16,"-14"9"-73"-16,0 0-118 16,0 0 0-16,-7-7 0 15,7 7 0-15,-19 0 0 16,19 0-5-16,-20 3-61 15,20-3-90-15,-10 10-30 0,10-10-5 16,0 0-19 0,0 0 4-16</inkml:trace>
          <inkml:trace contextRef="#ctx0" brushRef="#br0" timeOffset="11777.04">1551 1897 514 0,'8'-14'171'16,"-3"-8"-7"-16,-5-11-127 16,9 0-20-16,1-12-1 15,8-6-8-15,1-3 4 16,5-7-5-16,2-2-1 16,7-3 1-16,1-5-1 15,-5 8-1-15,0 7-1 16,-4 3-1-16,-3 10-1 15,-4 4 2-15,-6 11 4 16,-3 12-3-16,-9 5 0 16,0 11 1-16,0 15-3 15,-6 10 3-15,-2 12-6 0,0 10-1 16,1 8 1-16,1 2-1 16,3 8 1-16,2 4-1 15,1-2-1-15,0-4 0 16,2-2-1-16,2-5-4 15,3-1-19-15,-7-11-37 16,12 1-64-16,-4-7-49 16,-7-15-12-16,4-10-12 15,-5-13 0-15</inkml:trace>
          <inkml:trace contextRef="#ctx0" brushRef="#br0" timeOffset="8876.11">385 1429 382 0,'-9'-24'167'16,"9"2"-14"-16,8 1-89 16,4-15-49-16,14 3 4 0,2-6-3 15,11 3-4-15,4-2 6 16,8 0-8 0,-1 10 2-16,-1 4-3 15,-2 7-1-15,-7 12-1 0,-4 9-4 16,-8 14 0-16,-11 12-6 15,-5 9 4-15,-11 7-1 16,-5 4-2-16,-10 3 1 16,-7-1-5-16,7-7-2 15,-8-9-6-15,7-5-1 16,0-15-5-16,11-3 1 16,4-13 1-16,11-8 2 15,7-9 7-15,6-4-1 16,5 1 16-16,3-1 4 15,10 8 10-15,-10-2 0 16,3 15 1-16,-7 0 0 16,-2 19-4-16,-13-2 6 0,1 16-9 15,-14-2 2-15,-7 11-6 16,-13-3-3-16,1 4 3 16,-14-3-4-16,2-1 5 15,-5-6-4-15,-2-1 4 16,-3-9-4-16,1-2 2 15,-5-10-1-15,2-2 0 16,-6-6-5-16,4 0-3 16,6-6 0-16,-7-3 0 15,6 0 0-15,0-5 0 16,12 0 0-16,-3-5-18 16,14 5-20-16,-10-10-57 15,16 4-82-15,1 2-9 0,9-2-14 16,-1 7-10-16</inkml:trace>
          <inkml:trace contextRef="#ctx0" brushRef="#br0" timeOffset="12467.5">2213 1303 403 0,'2'-12'173'15,"-3"-3"-6"-15,-2-3-64 16,3 18-86-16,-28-16 0 16,14 14-3-16,-11 2-7 15,-1 0-4-15,-6 2-2 16,4 6-1-16,-2 8-2 16,1-2 2-16,1 4-5 0,7 2 3 15,-2 5-1 1,9-2-4-16,5-6 4 0,3 5-7 15,6-7 8-15,1-6-5 16,11-1 8-16,1-8-4 16,11 0 2-16,-1-7 4 15,5-2-3-15,1-3 9 16,-3-5-4-16,-2 7 8 16,-6-1-5-16,4 6 2 15,-11-3-4-15,-4 3 3 16,-7 5-1-16,17-1-2 0,-17 1-3 15,13 8 0 1,-6 3 3-16,0 7-4 16,-1 0 6-16,5 8-3 15,0 2 4-15,-2 7-4 0,2 6 3 16,1-3-3-16,0 4-2 16,1 0 5-16,-2-4-6 15,-4 0 5-15,-1-10-3 16,2 3 3-16,-8-12-7 15,0 0 0-15,-4-8 0 16,-6 2 0-16,-4-6 0 16,-1-4 0-16,-5-3 0 0,1 0 0 15,0-2 0 1,-2-6 0-16,2 3 0 16,-3-10-4-16,14 15-68 15,-17-9-109-15,7 3-1 16,10 3-21-16,0 0-2 0</inkml:trace>
          <inkml:trace contextRef="#ctx0" brushRef="#br0" timeOffset="13279.04">2387 1270 489 0,'25'-12'182'16,"8"-4"-3"-16,2-6-56 15,10 14-106-15,-1-5-4 0,11 4-6 16,1-1-3-16,-4-1-3 15,-1 2-4-15,-6-4-20 16,4 10-65 0,-18-7-87-16,-1-10-8 0,-4 0-12 15,-11-6-15-15</inkml:trace>
          <inkml:trace contextRef="#ctx0" brushRef="#br0" timeOffset="13066.9">2502 1304 569 0,'0'0'168'0,"6"7"-11"15,-5 1-150-15,-1 11-5 16,-1 3-5-16,-6-3 5 16,-1 7-4-16,-1-2 4 15,-5-1-4-15,3-5 4 0,5-2-6 16,6-1 3-16,2-7-1 15,13-5 1-15,8-3 1 16,4-1-1-16,11-5 3 16,2 0 2-16,2 2 2 15,-4-1 1-15,3 5 1 16,-6 0 0-16,0 11-1 16,-11 4-1-16,-1 6 2 15,-7 9-5-15,-5 2 4 16,-5 5-5-16,-6 1 5 15,0-5-5-15,-11 7 4 16,-2-6-5-16,-4-6 1 16,-7-9-7-16,-3-7-8 0,4-1-15 15,-12-19-31-15,14 8-39 16,-22-22-47-16,2 0-33 16,9-8-18-16,-6-9 2 15</inkml:trace>
          <inkml:trace contextRef="#ctx0" brushRef="#br0" timeOffset="14870.1">3190 1420 595 0,'0'0'167'0,"-12"-23"-3"16,5 8-166-16,7 0 0 16,15-7-2-16,1-2 1 15,7 3 4-15,2 1-4 16,7-1 4-16,-1 4-3 0,-2 8 1 16,-5 2-1-16,2 7 0 15,-13 14 2 1,-2 4-3-16,-10 8 3 15,-1 4-1-15,-8 7-3 0,-4-4 0 16,-2 4-6-16,-4-3-2 16,2-13-14-16,9 4 0 15,-2-15-6-15,9-10 1 16,9 1 3-16,14-4 3 16,1-16 8-16,13 5 6 15,0 1 18-15,3-2 11 16,2 8 4-16,-10 1 4 15,4 12 3-15,-10 5-1 16,-4 13-1-16,-15 3-1 16,-1 13-7-16,-9-5-7 15,-5 10 2-15,-8-7-9 16,-6 3 4-16,0-8-5 0,-7-9 1 16,2-7-9-16,-3-11-7 15,4-2-16-15,-9-13-27 16,12 7-39-16,-6-10-74 15,-2-1-10-15,1 5-18 16,-5-4 8-16</inkml:trace>
          <inkml:trace contextRef="#ctx0" brushRef="#br0" timeOffset="16515.2">3764 1813 408 0,'6'-28'170'0,"11"-4"-11"15,3 1-95-15,-8-18-35 16,11 4-1-16,-1-15-7 16,4 3-7-16,-6-6-1 15,7-2 0-15,-7-1-1 16,11 7 1-16,-9 0-3 0,10 11 0 15,-9 2 2-15,0 16-5 16,-7 6 1-16,6 16-5 16,-12 8-1-16,-6 20 2 15,-4 10-5-15,-7 11 2 16,-4 8 1-16,-7 10-1 16,3 3-1-16,-3 9 1 15,-2 2-4-15,4 0-3 16,6-9-6-16,-6-2-9 15,16 5-29-15,-13-21-47 16,18 1-78-16,1-10-8 16,-1-11-12-16,8-9-5 0</inkml:trace>
          <inkml:trace contextRef="#ctx0" brushRef="#br0" timeOffset="16915.46">4172 1799 362 0,'0'-23'155'0,"-10"-16"-4"16,10-1-92-16,7-6-41 15,3-6 13 1,8 5-5-16,4-9-4 16,5 8 1-16,-5-8 1 0,6 15 0 15,-7-7-4-15,3 14 1 16,-10 0-6-16,0 11-1 16,-9 8-1-16,4 8 0 15,-9 7-4-15,4 13-1 16,-4 9-5-16,1 12-2 15,-1 15 1-15,0 10-2 16,0 11-5-16,0 5-15 16,7 13-56-16,-7-5-98 15,0-7-3-15,0-8-14 16,0-13-17-16</inkml:trace>
          <inkml:trace contextRef="#ctx0" brushRef="#br0" timeOffset="17405.79">4683 1784 632 0,'0'0'188'0,"7"2"-2"0,-7-6-169 15,0 4-17-15,0 0 0 16,1-16 0-16,-1 16 0 15,-1-16-11-15,1 16-54 16,-12-14-90-16,12 14-28 16,-13-6-13-16,2 6-6 15,6 6-8-15</inkml:trace>
          <inkml:trace contextRef="#ctx0" brushRef="#br0" timeOffset="17792.05">5006 1527 649 0,'-6'0'173'15,"6"0"-3"-15,15-15-171 16,2 10-3-16,10-5 1 16,9 3 3-16,12-5-3 0,12 2 1 15,12-10-4-15,23 7-30 16,-4-13-104-1,13-7-33-15,17 0-6 16,-4-19-22-16,9-4 0 0</inkml:trace>
        </inkml:traceGroup>
      </inkml:traceGroup>
    </inkml:traceGroup>
    <inkml:traceGroup>
      <inkml:annotationXML>
        <emma:emma xmlns:emma="http://www.w3.org/2003/04/emma" version="1.0">
          <emma:interpretation id="{F82E47C6-B829-4DF7-9077-DF19F99A9A46}" emma:medium="tactile" emma:mode="ink">
            <msink:context xmlns:msink="http://schemas.microsoft.com/ink/2010/main" type="paragraph" rotatedBoundingBox="24481,22026 29259,21988 29272,23612 24494,23650" alignmentLevel="2"/>
          </emma:interpretation>
        </emma:emma>
      </inkml:annotationXML>
      <inkml:traceGroup>
        <inkml:annotationXML>
          <emma:emma xmlns:emma="http://www.w3.org/2003/04/emma" version="1.0">
            <emma:interpretation id="{91E0BEB8-6B13-44AE-BA85-BD1121B130F8}" emma:medium="tactile" emma:mode="ink">
              <msink:context xmlns:msink="http://schemas.microsoft.com/ink/2010/main" type="line" rotatedBoundingBox="24481,22026 29259,21988 29272,23612 24494,23650"/>
            </emma:interpretation>
          </emma:emma>
        </inkml:annotationXML>
        <inkml:traceGroup>
          <inkml:annotationXML>
            <emma:emma xmlns:emma="http://www.w3.org/2003/04/emma" version="1.0">
              <emma:interpretation id="{2D16D3D1-0A71-4F5D-A662-DDB1C32CD126}" emma:medium="tactile" emma:mode="ink">
                <msink:context xmlns:msink="http://schemas.microsoft.com/ink/2010/main" type="inkWord" rotatedBoundingBox="24481,22026 29259,21988 29272,23612 24494,23650"/>
              </emma:interpretation>
            </emma:emma>
          </inkml:annotationXML>
          <inkml:trace contextRef="#ctx0" brushRef="#br0" timeOffset="23022.53">92 2398 689 0,'0'0'183'0,"6"18"-32"15,-9 4-151-15,0 28-51 16,-17 6-129-16,4 4-10 16,-4 13-7-16,-7-1-19 15</inkml:trace>
          <inkml:trace contextRef="#ctx0" brushRef="#br0" timeOffset="22326.06">-177 3287 472 0,'50'-26'177'0,"-10"-7"-8"15,0-6-95-15,-9 7-58 16,-9-1 2-16,-6 0-8 16,-15 1-3-16,-3 8-6 15,-17-7 1-15,-8 13-5 16,-4 2 2-16,-8 9-3 0,-4 5 1 15,-5 4 0-15,7 9 0 16,-4 3 3-16,3 2-1 16,4 4 2-1,13-4-3-15,-1-4 2 0,16-1 1 16,10-11 3-16,0 0 3 16,10-7 0-16,16-9 3 15,-1-4 2-15,3-6 4 16,5 2-2-16,-4-6 1 15,-2 5-5-15,-9 2-10 16,6 8 0-16,-17-3 0 16,2 10 0-16,-9 8 0 15,0-10 0-15,0 10 0 0,0 0 0 16,-2 9 0-16,-3 0 0 16,5 9 0-1,5-3 0-15,0 6 0 16,11 4 0-16,7-5 0 0,10 2 0 15,8-7 0-15,9-6 0 16,6-9 0-16,8-8 0 16,8-10 0-16,13-20 0 15,7-14 0-15,-2-12 0 16,7-7-5-16,-9-8-1 16,-3 0-4-16,-13 3 8 15,-6 6 4-15,-23 9 2 16,-23 8 1-16,-5 20 0 0,-19 13-4 15,-16 17 2 1,-16 14 0-16,-14 19-3 16,-9 18 0-16,-10 15 0 15,1 20 0-15,-11 13 0 0,9 11-3 16,-3 6-5-16,10 6-7 16,5-5-6-16,15-10-1 15,3-14-9-15,16-12-5 16,2-24-2-16,21-17 4 15,-4-28 3-15,11-9 8 16,1-21 7-16,6-8 0 16,5-21 9-16,-10-7 6 15,3-1 4-15,-3-11 7 16,-4 6 7-16,-4-1 2 16,2 6 8-16,-6 3-2 15,4 16 3-15,-5-3-3 0,5 16 0 16,-3 1-11-16,3 10-6 15,7 0-4-15,-1 6-4 16,8 1-1-16,3-1-5 16,6 3 1-16,0 0-1 15,3-1 2-15,4 4-1 16,2-1 3-16,-1 2 1 16,2 2 3-16,-2 6 2 15,2 4 2-15,1 10 4 16,-8 2 3-16,3 5-2 15,-3 7 4-15,-4 3-3 16,-5 0 5-16,-4 4-5 16,-5-5 2-16,-1 1-3 0,-6-3-11 15,1-7 0-15,-2-3 0 16,5-8 0-16,7-5 0 16,-1-5 0-16,7-6 0 15,3-6 0-15,7-5 0 16,4-1 0-16,0-2 0 15,7-4 0-15,-6 3 0 16,0-1 0-16,0-2 0 16,-8 9 0-16,-2 3 0 15,-8 4 0-15,-6 2 0 16,-9 0-14-16,0 31-87 16,-5-11-78-16,-7 0-7 15,-2 4-15-15,3 0-10 0</inkml:trace>
          <inkml:trace contextRef="#ctx0" brushRef="#br0" timeOffset="20578.9">-514 2437 572 0,'10'16'171'0,"0"7"-8"15,-20 12-154-15,8 7 0 16,-7 9-2-16,-4 11-4 15,-8 8-3-15,-5 4 0 16,2 8-1-16,-9-1 1 16,2 0-1-16,6-3-8 15,-2 0-6-15,3-10-12 16,10 9-32-16,-9-22-42 16,13-7-64-16,2-2-14 15,-4-23-12-15,8-5 5 16</inkml:trace>
          <inkml:trace contextRef="#ctx0" brushRef="#br0" timeOffset="23481.82">1891 2694 579 0,'0'-14'182'16,"0"14"-10"-16,7 15-110 16,-3 6-61-16,1 5 0 15,-1 17 0-15,-4 6-5 16,0 22-1-16,-9 9-2 0,-2 12-2 16,-10-1-11-1,3 19-21-15,-11-18-45 16,13 9-62-16,0-14-28 0,-4-23-9 15,15-11-12-15</inkml:trace>
          <inkml:trace contextRef="#ctx0" brushRef="#br0" timeOffset="25955.48">2046 2612 668 0,'21'3'179'15,"6"9"-11"-15,1 21-214 16,-2 8-127-16,7 5-10 15,-1 11-11-15,-17 8-14 16,-10 6-3-16</inkml:trace>
          <inkml:trace contextRef="#ctx0" brushRef="#br0" timeOffset="25546.21">1362 2772 655 0,'-40'-33'179'0,"15"-5"-10"16,20-3-162-16,9-4-7 0,21-7-3 15,20 0 0-15,15-7-1 16,20-2 1-16,17-1 1 16,17 5 1-16,7 5 2 15,6 8-1-15,-3 11 1 16,0 13 3-16,-7 15-2 15,-13 14-3-15,-18 21 3 16,-15 12 0-16,-22 20-2 16,-25 12-1-16,-21 10 1 15,-20 8 1-15,-24 1-2 16,-20 6 3-16,-17 2-2 16,-20-2-3-16,-7-7 4 15,-9-3-4-15,-9-17 2 0,0-8 0 16,4-9-2-16,2-10 1 15,12-14-8-15,21-10 3 16,4-7-6 0,22-10 6-16,10-4-8 0,20 0 3 15,9-2 3-15,19 2 0 16,-1-9 7-16,12 3-1 16,10 5 1-16,8 1 0 15,12 9 0-15,10 4-5 16,6 3-5-16,6 4-1 15,5-3 0-15,5-1 5 16,6-2 4-16,0-9 4 16,4-5 3-16,-7-8 5 0,4-10 5 15,-10-12-1-15,-3-1 5 16,-10-4-6-16,-10-5 2 16,-14-2-6-16,-8 0 3 15,-14 1-2-15,-11 2 1 16,-10 3 4-16,-7 4-5 15,-17 6 2-15,-3 8-2 16,-12 9 1-16,2 7-3 16,-2 4-1-16,1 10-1 15,6 4-5-15,12 8 3 16,6 1-5-16,15-1 2 16,11-1-3-16,17-3 1 15,10-6 1-15,13-5 0 0,0-8 2 16,7-4 0-16,-2-8 1 15,2-4 1 1,-13-2 4-16,-6 2 0 16,-9-2-2-16,-7 4-4 0,-12-2 0 15,-2 6 0-15,-4 1 0 16,-5 2 0-16,-3-2 0 16,1 1 0-16,4-1 0 15,1 1 0-15,6-7 0 16,12-4 0-16,12 0 0 15,6-6 0-15,10-6 0 16,13-7 0-16,8-7 0 16,-1-6-6-16,4-10 1 0,-7-3 2 15,-3-8-4 1,-8 0 7-16,-5-8 3 16,-12-2-2-16,-6 2 1 15,-11 10-2-15,-6 6 0 0,-6 8-4 16,-6 14 3-16,-12 15-5 15,-13 26 0-15,-9 15 2 16,-12 29 0-16,-9 17-1 16,-1 23 0-16,-5 19 5 15,-5 15-1-15,11 10-1 16,8 10 0-16,10-1 1 16,10-6-1-16,16-5 1 15,15-14-1-15,2-17-1 16,17-16 1-16,8-20 3 15,5-23 3-15,6-18-4 16,7-18 2-16,2-21 3 0,-2-14-3 16,4-10 5-16,-3-9-1 15,-6 0 0-15,-5 0-1 16,-3 7 4-16,-13 7 0 16,-5 12 1-16,-11 8-10 15,-1 20 0-15,-10 0 0 16,-3 19 0-16,-4 4 0 15,-1 4 0-15,8 0 0 16,6 2 0-16,7-4 0 0,14-9 0 16,12-8 0-1,10-8 0-15,13-1 0 16,5-15 0-16,8-3 0 16,-4-2 0-16,-7-3 0 0,-3 5 0 15,-13 1 0-15,-3 4 0 16,-17 0 0-16,-5 8 0 15,-13 6 0-15,0 0 0 16,0 0 0-16,-2 12 0 16,-1-3 0-16,3 4 0 15,0-3 0-15,7 4 0 16,3-6 0-16,2 0 0 16,4-1 0-16,2-3 0 15,-5 0 0-15,0-4 0 16,-13 0 0-16,11-12 0 15,-11 3 0-15,0 0 0 16,-8-2 0-16,-2-1 0 0,-3 4 0 16,2 1 0-16,-8 6 0 15,6 1 0-15,4 1 0 16,1 9 0-16,6 5 0 16,2-2 0-16,2 4 0 15,10-1 0-15,6 0 0 16,7-2 0-16,3 2 0 15,1-8 0-15,10-2 0 16,-2-6 0-16,14-8 0 16,3-22 0-16,13-7 0 15,-5-19-9-15,12-7-2 16,2-14 3-16,1-14 4 16,-8-8 0-16,-8-2 2 0,-9 2 6 15,-10 4-3-15,-11 8 4 16,-16 10 1-16,-8 8-4 15,-7 19-1-15,-7 11 0 16,-6 17 1-16,-14 10-3 16,4 17-2-16,-8 19 1 15,-5 15 2-15,0 15-2 16,-2 19 0-16,-6 16-1 16,3 6 4-16,-1 13-2 15,-4 0 1-15,2 3 2 16,-4-6-6-16,8-8 6 15,-3-17 4-15,0-15-1 16,7-14 0-16,4-19 2 0,4-21-1 16,8-11-6-16,3-23 0 15,6-11 0-15,3-8 0 16,2-8 0 0,2 3 0-16,4-6 0 0,2 4 0 15,7 4 0-15,9 12 0 16,12 5 0-16,5 4 0 15,17 6 0-15,7 2 0 16,4-5 0-16,17 1 0 16,-2-1 0-16,14 1-167 15,-22-4-16-15,-16-2-8 16,-16-2-23-16,-33-1-5 0</inkml:trace>
        </inkml:traceGroup>
      </inkml:traceGroup>
    </inkml:traceGroup>
    <inkml:traceGroup>
      <inkml:annotationXML>
        <emma:emma xmlns:emma="http://www.w3.org/2003/04/emma" version="1.0">
          <emma:interpretation id="{A172A890-7CA2-4FDD-B308-880E2CF5BAB1}" emma:medium="tactile" emma:mode="ink">
            <msink:context xmlns:msink="http://schemas.microsoft.com/ink/2010/main" type="paragraph" rotatedBoundingBox="23003,23676 27960,23796 27941,24560 22984,2444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DEB8695-7C6D-4CE3-9A2B-F7EBE4654B35}" emma:medium="tactile" emma:mode="ink">
              <msink:context xmlns:msink="http://schemas.microsoft.com/ink/2010/main" type="line" rotatedBoundingBox="23003,23676 27960,23796 27941,24560 22984,24440"/>
            </emma:interpretation>
          </emma:emma>
        </inkml:annotationXML>
        <inkml:traceGroup>
          <inkml:annotationXML>
            <emma:emma xmlns:emma="http://www.w3.org/2003/04/emma" version="1.0">
              <emma:interpretation id="{9FEB5621-CF11-4E4F-80B3-9D185AFB398B}" emma:medium="tactile" emma:mode="ink">
                <msink:context xmlns:msink="http://schemas.microsoft.com/ink/2010/main" type="inkWord" rotatedBoundingBox="23003,23676 27014,23773 26996,24537 22984,24440"/>
              </emma:interpretation>
            </emma:emma>
          </inkml:annotationXML>
          <inkml:trace contextRef="#ctx0" brushRef="#br0" timeOffset="32867.08">-1288 4048 449 0,'-26'-13'170'0,"9"3"-11"16,4-1-78-16,4-9-66 15,12-5-5-15,8-1-8 0,13-3-2 16,5-5-3-16,6 4 4 16,5 0-3-16,6 5 5 15,-3 5-5-15,-1 11 4 16,-3 7-2-16,-6 3 2 16,-11 15 4-16,-9 9-5 15,-11 11 2-15,-4 0-2 16,-19 6 1-16,4 5-5 15,-9-1 0-15,4-11-7 16,1 4-8-16,5-19 0 16,14-6 1-16,2-14-2 15,23 0 1-15,-2-6 0 16,17-5 6-16,-5-4 5 0,6-3 11 16,-1 12 7-16,-3-3 3 15,-3 13 4-15,-12 4 2 16,-2 14 2-1,-11 7-3-15,-6 4 4 0,-9 0-6 16,-4 8 0-16,-14-6-7 16,-1 0 1-16,-13-11-4 15,3-5 0-15,-4-15-2 16,5-4-5-16,-3-6-2 16,7-16-10-16,6 5-1 15,3-5-19-15,10 15-33 16,-5-18-47-16,8 22-55 0,10 3-18 15,-12 7-2-15,15 15 7 16</inkml:trace>
          <inkml:trace contextRef="#ctx0" brushRef="#br0" timeOffset="33119.25">-528 4346 550 0,'-10'-1'186'0,"1"-7"-19"15,-2-5-77 1,11 13-172-16,0 0-95 0,-14-8 1 15,5 14-16-15,-7 9-18 16</inkml:trace>
          <inkml:trace contextRef="#ctx0" brushRef="#br0" timeOffset="37455.11">229 3903 447 0,'0'-16'168'0,"0"16"-6"15,-11-12-94-15,-9 2-51 16,-2 7-4-16,0-7-9 0,-8 8-5 16,2-2 0-16,-5 4 1 15,-2 4-1-15,7 8-1 16,-7 4 0-16,5 5 0 16,0 14-2-16,4-2 4 15,2 6-4-15,6 3 2 16,4 6-4-16,3-8 3 15,11 0-1-15,1-5 1 16,15-5-1-16,7-1 2 16,8-11 0-16,8-2 1 15,2-11 4-15,5-2 1 16,1-6 2-16,-2-8 2 16,-4-6 7-16,-5-8 0 0,-6-8 2 15,0 1 1-15,-14-7 1 16,-1 6-3-16,-12-12-1 15,-1 12-4-15,-3-2-4 16,-8 2-7-16,-8 11-3 16,-7 5-8-16,0 10-3 15,-10 3-6-15,9 15-14 16,-14-8-26-16,17 27-47 16,-6 1-55-16,5-7-15 15,17 14-9-15,2-15-2 16</inkml:trace>
          <inkml:trace contextRef="#ctx0" brushRef="#br0" timeOffset="32274.68">-1729 3919 374 0,'-3'-16'167'0,"-11"-7"-7"0,1 0-101 16,13 10-13-16,-2-9-14 16,7 11-9-16,2-2-15 15,6 3-1 1,3 2-3-16,3 8-3 0,0-6-2 16,4 6 0-16,1 6-3 15,-5 1 3-15,3 9 5 16,-5 8-5-16,-9 1 6 15,-2 6-4-15,-6 12 4 16,-4-2-4-16,-13 6 2 16,-4 4-5-16,-10 3-3 15,-11-9 3-15,-4 8-5 16,-8-6 3-16,-11 2 8 0,4-9-5 16,-3-4 4-1,-2-9-1-15,3-2 3 16,1-10-3-16,12 1 6 15,5-9-8-15,9-4-2 0,4-3 2 16,5 0 2-16,10 0-1 16,3-1 2-16,14 1 0 15,0 0 5-15,6-9 3 16,17 1 1-16,14 4-2 16,10-8-7-16,17 5 6 15,9-9-9-15,9 7 6 16,0-7-12-16,0 3-5 15,0 5-21-15,-9-9-30 16,7 17-47-16,-16-6-64 16,-7-3 0-16,-3 7-25 15,-14-6 7-15</inkml:trace>
          <inkml:trace contextRef="#ctx0" brushRef="#br0" timeOffset="37978.48">462 3914 494 0,'0'-22'162'0,"0"-2"-2"16,11-7-124-16,10 16-25 16,8-4-7-16,6 11 2 0,4 2-9 15,0 6 5-15,-3 9 4 16,-4 4-9-16,-7 18 6 15,-10-1-3 1,-6 12 3-16,-9 3-2 0,-4 10 2 16,-11 2-5-16,-8-2-4 15,-10-1 5-15,3-2-7 16,-9-6 5-16,7-9 5 16,-4-7-5-16,4-13 6 15,4-2-3-15,-3-5-1 16,11-4 5-16,-1-6 2 15,7 0 3-15,1-4-6 0,13 4 7 16,-14-10-4-16,14 10 6 16,0-9 2-16,4 8-5 15,9-4-2 1,2 5-1-16,6 0-6 16,-1 0-5-16,15 9-6 0,-11-9-30 15,20 16-55-15,-11-10-78 16,-1-6 5-16,7-2-18 15,-11-12-4-15</inkml:trace>
          <inkml:trace contextRef="#ctx0" brushRef="#br0" timeOffset="38295.68">1071 4332 600 0,'0'0'186'16,"0"0"0"-16,0-8-135 15,-1 4-51-15,1 4 0 16,-15-11 0-16,15 11 0 15,-27-13-31-15,27 13-33 16,-19-3-62-16,6 6-52 16,7 2-5-16,-4 9-9 15,10 8-8-15</inkml:trace>
          <inkml:trace contextRef="#ctx0" brushRef="#br0" timeOffset="38986.15">1542 4081 417 0,'0'0'162'16,"-7"-25"-10"-16,7-2-78 15,4 12-70-15,8-1 2 16,8-2 0-16,-4 5 4 0,9 3-1 16,1-3 2-16,-2 10 0 15,1-2-1-15,-1 5 0 16,2 7-2-16,-9 2-1 15,-2 6-3-15,0 6 2 16,-11 1-4-16,-4 5 3 16,-9 7-4-16,-8 6 0 15,-8-3-3-15,-13 6 2 16,-7-1-5-16,3 1 3 16,-7-7 5-16,3-2-7 15,2-10 7-15,7-3-3 16,6-5 6-16,8-4-6 15,8-6 9-15,7-2-7 0,8-4 2 16,0 0 3-16,0-4-5 16,9-1 5-16,9-2-5 15,1 3 6-15,10-4-7 16,2 4 6-16,2 0-10 16,8 0 3-16,-3 2-7 15,0-5-22-15,9 7-71 16,-6-1-75-16,-5-14 2 15,-4 7-20-15,-1-11-3 16</inkml:trace>
        </inkml:traceGroup>
        <inkml:traceGroup>
          <inkml:annotationXML>
            <emma:emma xmlns:emma="http://www.w3.org/2003/04/emma" version="1.0">
              <emma:interpretation id="{3AD7CD80-9BE5-4916-A34D-EA96B81B7663}" emma:medium="tactile" emma:mode="ink">
                <msink:context xmlns:msink="http://schemas.microsoft.com/ink/2010/main" type="inkWord" rotatedBoundingBox="27217,23922 27956,23940 27945,24405 27206,24388"/>
              </emma:interpretation>
            </emma:emma>
          </inkml:annotationXML>
          <inkml:trace contextRef="#ctx0" brushRef="#br0" timeOffset="39505.5">2122 4071 577 0,'0'-11'174'0,"0"-12"-7"16,-8 6-129-16,8 3-31 15,3-1-2-15,6 6-5 16,0 2 1-16,5 1-2 15,2 5 0-15,-2 1-1 16,3 4 0-16,0 4 0 16,-2 6-1-16,0 5 2 15,-4 5-4-15,-6 4 4 0,-4 4-5 16,-1 4 0-16,-6 3-2 16,-12 3 4-16,-2-3-4 15,-4 1 5-15,-3-3 7 16,-6-11-6-16,5-3 10 15,2-3-4-15,5-9 9 16,-1-1-8-16,8-5 9 16,7-2-7-16,7-3-1 15,0 0-1-15,0 0 1 16,5 0-3-16,6-1 1 16,9-1 0-16,-3 2-8 15,10-1 7-15,2 1-9 16,4-4 2-16,5 4-18 0,-5-1-59 15,7-2-93-15,-4 3 2 16,-4 0-14-16,2 3-11 16</inkml:trace>
          <inkml:trace contextRef="#ctx0" brushRef="#br0" timeOffset="39886.75">2751 4446 725 0,'0'0'188'16,"0"0"-78"-16,0 0-110 0,0 0 0 15,23-3-150-15,-14-6-42 16,-7-6-2-16,-2 0-25 16,-5-3-3-1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83.97339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2-22T06:51:29.802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20598E8B-4F07-4B29-ACF8-7D7B8345E00F}" emma:medium="tactile" emma:mode="ink">
          <msink:context xmlns:msink="http://schemas.microsoft.com/ink/2010/main" type="inkDrawing" rotatedBoundingBox="22334,22680 26782,21995 26815,22208 22367,22893" shapeName="Other"/>
        </emma:interpretation>
      </emma:emma>
    </inkml:annotationXML>
    <inkml:trace contextRef="#ctx0" brushRef="#br0">222 706 461 0,'-81'11'163'16,"18"-11"-15"-16,16-1-125 0,21-5-12 16,21-6-2-16,19-1 0 15,19-8-10-15,24-2 5 16,17-8 0-16,28 0 7 15,15-8-1-15,20 0 5 16,21-5 1-16,20 5 2 16,12-3 5-16,23 6-6 15,6-3 6-15,15 9-6 16,6-2-7-16,13 5 1 16,-3 3-6-16,2 0 1 15,-9 3-6-15,-6 1 3 16,-13 2-8-16,-13 1 7 0,-20 3-2 15,-19 1-6-15,-15 7-12 16,-25-8-31-16,-10 14-65 16,-23-7-64-16,-25-3-5 15,-19-1-19-15,-26-2-5 16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6-27 15,-3-3 10-15,5 17 7 16,-5-14-6-16,4 24 4 16,-4-17-2-16,0 23 1 15,-4-9 7-15,4 33 11 16,0-11-18-16,0 15-13 16,0 3-2-16,0 18-3 15,0 6-1-15,0 14 1 0,0 8-1 16,0 13 0-16,0 3-2 15,0 8 2-15,-5 3-4 16,5 4 0-16,-3-12 3 16,-2 13-2-16,0-12-3 15,1 0 1-15,-3-12-2 16,4 6 1-16,-9-7 2 16,5 4-3-16,-1-2 0 15,4-1 2-15,-6-1-4 16,5-7 3-16,-1 1-2 15,2 1-2-15,2-5 1 16,0-4 1-16,1-9-1 0,1-3 1 16,-2-1 0-16,0-11-2 15,2-11 2-15,-1-9 0 16,-3-8-3-16,3-23 3 16,-2-5-2-16,0-15 1 15,2-9 0-15,1-20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15,-6-21 0-15,6 21 0 16,-10-26 0-16,10 26 0 16,-10-33 0-16,5 10 0 15,1-3 0-15,-3-5 0 16,2-4 0-16,-4-3 0 0,3-5 0 16,-1-5 0-16,-2-3 0 15,1-5 0 1,1-2 0-16,2-2 0 15,-2-9 0-15,0-3 0 0,2 1 0 16,4-2 0-16,-3-7 0 16,4 5 0-16,0-1 0 15,-2 0 0-15,1 8 0 16,-3 9 0-16,-2-1 0 16,3 7 0-16,-2 10 0 15,-4 0 0-15,3 4 0 16,0 7 0-16,-1 6 0 15,2-1 0-15,1 12 0 16,4 15 0-16,-9-24 0 16,9 24 0-16,0 0 0 15,0 0 0-15,0 0 0 16,0 0 0-16,0 0 0 0,0 0 0 16,-11 15 0-16,11-15 0 15,-10 33 0-15,4-6 0 16,1 8 0-16,-1 1 0 15,2 16 0-15,1 6 0 16,3 5 0-16,0 6 0 16,0 5 0-16,5 7 0 15,0 0 0-15,-1-3 0 16,0-1 0-16,2-4 0 16,-5-2 0-16,2-1 0 15,-2-5 0-15,1 11 0 16,3-11 0-16,2 1 0 15,4-4 0-15,-7-8 0 0,3 5 0 16,3-11 0-16,-3-9 0 16,-2 4 0-16,-1-11 0 15,1 3 0-15,-4-7 0 16,3-3 0-16,-1-5 0 16,-2-1 0-16,3-2 0 15,-4-17 0-15,3 25 0 16,-3-25 0-16,0 0 0 15,0 0 0-15,0 0 0 16,0 0 0-16,0 0 0 16,0 0 0-16,0 0 0 15,0 0 0-15,17 7 0 16,-17-7 0-16,0 0 0 0,19-19 0 16,-19 19 0-16,20-27 0 15,-6 11 0-15,-4-10 0 16,2 0 0-16,3-13 0 15,1-3 0-15,-1-12 0 16,4 2 0-16,-3-14 0 16,1-6 0-16,2-5 0 15,1-8 0-15,-3-3 0 16,3-1 0-16,1-3 0 16,3-15 0-16,-1-10 0 15,1-5 0-15,-2-12 0 16,1-1 0-16,-2 5 0 15,1-3 0-15,-4 7 0 0,-1 8 0 16,-2 16 0-16,-3 9 0 16,1 19 0-16,-3 8 0 15,1 8 0 1,4 4 0-16,-1 13 0 0,2 5 0 16,4-1 0-16,-4 16 0 15,-1-6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31-40-16</inkml:trace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37 658 0,'0'-12'174'0,"-7"-1"-13"15,1 1-165-15,6 12-26 16,0 0-102-16,0 15-36 15,0-2-10-15,0-1-14 16,-3 3-15-16</inkml:trace>
        </inkml:traceGroup>
      </inkml:traceGroup>
    </inkml:traceGroup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25632" units="cm"/>
          <inkml:channel name="Y" type="integer" max="14418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995.03107" units="1/cm"/>
          <inkml:channelProperty channel="Y" name="resolution" value="991.60938" units="1/cm"/>
          <inkml:channelProperty channel="F" name="resolution" value="8.05512E-5" units="1/dev"/>
          <inkml:channelProperty channel="T" name="resolution" value="1" units="1/dev"/>
        </inkml:channelProperties>
      </inkml:inkSource>
      <inkml:timestamp xml:id="ts0" timeString="2023-09-17T08:22:55.087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6C81B27E-DCEE-49A8-807C-9FE2A34BADC0}" emma:medium="tactile" emma:mode="ink">
          <msink:context xmlns:msink="http://schemas.microsoft.com/ink/2010/main" type="writingRegion" rotatedBoundingBox="29162,121468 38603,121882 38385,126835 28945,126421"/>
        </emma:interpretation>
      </emma:emma>
    </inkml:annotationXML>
    <inkml:traceGroup>
      <inkml:annotationXML>
        <emma:emma xmlns:emma="http://www.w3.org/2003/04/emma" version="1.0">
          <emma:interpretation id="{30C99245-5F89-4446-B50A-91B4BCDC2925}" emma:medium="tactile" emma:mode="ink">
            <msink:context xmlns:msink="http://schemas.microsoft.com/ink/2010/main" type="paragraph" rotatedBoundingBox="29360,121476 38603,121882 38507,124061 29264,12365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21A9324F-2193-476C-A778-44EDBE487C87}" emma:medium="tactile" emma:mode="ink">
              <msink:context xmlns:msink="http://schemas.microsoft.com/ink/2010/main" type="line" rotatedBoundingBox="29360,121476 38603,121882 38507,124061 29264,123655"/>
            </emma:interpretation>
          </emma:emma>
        </inkml:annotationXML>
        <inkml:traceGroup>
          <inkml:annotationXML>
            <emma:emma xmlns:emma="http://www.w3.org/2003/04/emma" version="1.0">
              <emma:interpretation id="{41EE0AA4-EA91-4870-B78F-7637A36D6AAA}" emma:medium="tactile" emma:mode="ink">
                <msink:context xmlns:msink="http://schemas.microsoft.com/ink/2010/main" type="inkWord" rotatedBoundingBox="29360,121476 32785,121627 32706,123432 29281,123282"/>
              </emma:interpretation>
            </emma:emma>
          </inkml:annotationXML>
          <inkml:trace contextRef="#ctx0" brushRef="#br0">1173-345 288 0,'-9'-29'139'15,"23"26"-19"-15,-14 3-86 16,-5-23-7-16,5 23-5 16,-6-18-3-16,6 18-6 15,0 0-4-15,0 0-5 16,-3-16-3-16,3 16-3 16,0 0 0-16,0 0-1 15,0 0 1-15,17-7 0 16,0 6 1-16,3 2 1 15,10 1 2-15,9 3-1 16,7 6 0-16,10 3 1 0,-1 5-2 16,7 4 2-16,-3 4-2 15,-6-3 1 1,-5-2-2-16,-5 2 3 16,-11-5-1-16,-3-6 2 0,-12-6 2 15,-17-7 1-15,0 0 0 16,0 0 1-16,0 0 1 15,0 0 1-15,-24-3 2 16,10 10 0-16,-10 1 0 16,-1 19 0-16,-1 9 2 15,2 21-6-15,1 14 0 16,4 16-4-16,0 5-2 0,7 1-2 16,1-4-1-1,6-6-2-15,0-11-1 16,5-16 5-16,5-10-2 15,4-15 3-15,-1-6-3 0,3-5 0 16,8 1-5-16,-4-6-6 16,7 2-16-16,-22-17-18 15,33 16-43-15,-33-16-44 16,1-23-17-16,-1 23-5 16,-13-51 7-16,4 31 149 15</inkml:trace>
          <inkml:trace contextRef="#ctx0" brushRef="#br0" timeOffset="165.353">1147 325 455 0,'0'0'168'16,"0"0"-3"-16,0 0-119 15,34 13-37-15,14-2-12 16,10-11-9-16,22 1-13 15,0-21-17-15,21 8-17 16,-13-25-36-16,13 0-32 16,-2 2-23-16,-34-16-7 15,12 25 5-15,-35-13 132 16</inkml:trace>
          <inkml:trace contextRef="#ctx0" brushRef="#br0" timeOffset="860.203">2261 268 341 0,'34'-19'143'15,"-23"-37"-4"-15,14-3-124 16,16-11-20-16,7-5-4 15,3-13 1-15,-6 7 0 0,-1-6 2 16,-8 9 4-16,-4 7 4 16,-12 5 10-16,-7 20 2 15,-13 0 6 1,-2 20-2-16,-12-3-1 0,-3 21-7 16,-5 8-7-16,-9 12-4 15,-1 22-9-15,-7 7-2 16,6 24-5-16,-9 11 1 15,6 25-3-15,-5 10 0 16,8 13 4-16,0 4 0 16,12 5-2-16,0-8-3 15,11 0-2-15,5-18-1 0,15-6-1 16,7-23 0 0,17-10-7-16,12-22-11 0,10-23-16 15,20-10-19 1,-13-42-16-16,38 15-17 15,-38-50 80-15,38 20 30 0</inkml:trace>
          <inkml:trace contextRef="#ctx0" brushRef="#br0" timeOffset="1296.406">3115 176 313 0,'0'0'152'16,"-50"-20"-2"-16,16 10-109 0,11 12-12 15,-9-4-10-15,10 10-13 16,-10 3-4-16,11 7-5 16,-1 6 1-1,5 4-3-15,2 5 0 0,8-2 1 16,4 3 3-16,8-3 0 16,8-1-4-16,4-13 1 15,12-3-4-15,0-16 2 16,10-7 3-16,-6-5 1 15,5-4 4-15,-1 0 1 16,-6-6 7-16,-1 10 3 16,-14-1 5-16,0 13 1 15,-16 2 1-15,0 24-2 16,-13-1-2-16,6 11 0 16,-3 2-6-16,7 10-2 15,-1 0-8-15,8 0-2 16,4-5-4-16,4-12-1 0,15-7-6 15,-4-19-4-15,13-3-10 16,-8-27-20-16,15 4-32 16,-9-14-39-16,-4-22-26 15,12 18-10-15,-27-32 3 16,20 19 101-16</inkml:trace>
          <inkml:trace contextRef="#ctx0" brushRef="#br0" timeOffset="1472.547">3425-903 539 0,'0'0'167'0,"-23"40"-10"16,16 23-180-16,2 0-63 16,18 32-54-16,4 20-33 15,-14-6 4-15,18 14-2 16,-19-22 71-16</inkml:trace>
          <inkml:trace contextRef="#ctx0" brushRef="#br0" timeOffset="-4170.516">24 59 257 0,'-20'-12'124'0,"20"12"-6"16,5 15-89-16,-5-15-35 16,0 0 0-16,30-2 0 15,-13-1 2-15,7 1 6 16,2 2 5-16,9-3 1 15,-3 3 1-15,7-4 0 0,-3 6 0 16,8-2-1-16,2 3-1 16,-4-1-5-16,5 0-9 15,-1 1-13 1,-6-4-23-16,-4-5-39 0,10 13-33 16,-37-30-14-16,25 26-2 15,-42-30 92-15</inkml:trace>
          <inkml:trace contextRef="#ctx0" brushRef="#br0" timeOffset="-3909.889">253-117 501 0,'-16'5'160'0,"26"13"-32"16,-10-18-130-16,24 44-8 16,-6-12 0-16,7 14 0 15,-5 9-3-15,10 16-3 16,-5 3-15-16,10 23-27 16,-8 3-48-16,-5-11-30 15,16 24-14-15,-33-30 0 16,20 12 54-16</inkml:trace>
        </inkml:traceGroup>
        <inkml:traceGroup>
          <inkml:annotationXML>
            <emma:emma xmlns:emma="http://www.w3.org/2003/04/emma" version="1.0">
              <emma:interpretation id="{399967FF-ACE7-4886-8F03-13DF386845D8}" emma:medium="tactile" emma:mode="ink">
                <msink:context xmlns:msink="http://schemas.microsoft.com/ink/2010/main" type="inkWord" rotatedBoundingBox="32953,122008 38586,122256 38507,124061 32874,123814"/>
              </emma:interpretation>
            </emma:emma>
          </inkml:annotationXML>
          <inkml:trace contextRef="#ctx0" brushRef="#br0" timeOffset="32271.834">8047-115 176 0,'-15'-21'109'15,"34"9"-47"-15,-11-8-34 16,10 0-16-16,-1-8-9 16,8 3-4-16,0-3 0 15,4 7 1-15,-6 3 0 16,5 13 3-16,-7 10 0 16,1 8 1-16,-1 13 2 15,1 7-2-15,-5 8 0 0,3 3-2 16,-9 6-1-1,3 3 0-15,-11-3-1 0,-3-2 0 16,-12-3-5 0,-12 1 2-16,-7 3-4 0,-15-4 2 15,-8-1 0-15,-10 3 2 16,-8 3 1-16,-8 0 3 16,0 0 3-16,12-3 2 15,-2 1 3-15,19-9-2 16,5 2 1-16,19-8-2 15,12-3 1-15,19-4 1 16,17-1 7-16,13-10 6 0,19 6 9 16,6-16 5-16,23 11 6 15,0-18 1-15,29 13 0 16,-8-17-4 0,19 14-5-16,-5-13-9 15,9 5-7-15,-12-6-9 0,7-3-6 16,-8-5-8-16,-14-15-15 15,7 0-34-15,-19-16-76 16,-20-29-26-16,2 16-4 16,-46-20 0-16,4 23 64 15</inkml:trace>
          <inkml:trace contextRef="#ctx0" brushRef="#br0" timeOffset="2116.632">3685 374 126 0,'5'16'118'15,"-24"-24"-14"-15,12-10-49 16,7 3-6-16,-5-20 1 16,14 12-2-16,-6-13-9 15,14 9-4-15,-7-4-10 16,7 10-10-16,-1 1-11 16,4 10-1-16,-2 3-2 15,-18 7 2-15,30 7 3 16,-30-7 0-16,17 20 7 15,-5-1 0-15,-12-19 3 16,12 36-3-16,-10-19-1 16,5 7-5-16,-2-5-1 0,3-2-3 15,1 1-7-15,-9-18-4 16,15 28-2-16,-15-28 0 16,22 8 2-16,-22-8 1 15,34-15 2-15,-17 4 4 16,5-2 3-16,-6-2 4 15,0-2 3-15,2 4 0 16,-11-2 0-16,-7 15 0 16,14-18-1-16,-14 18 0 15,0 0 1-15,0 0 1 16,16 27-3-16,-11-2 0 16,-5 7-6-16,4 6 0 15,-3 5-3-15,2 0 1 0,4-2-6 16,-7-11 0-16,5 0-4 15,-5-30 2 1,15 19 2-16,-15-19 3 0,32-28 0 16,-6 2 1-16,3-4 3 15,8-1 1-15,3-6 3 16,9 7-1-16,1-4 0 16,2 8-4-16,2 8-8 15,-3 1-26-15,10 12-69 16,-8 6-37-16,-24-11-17 15,10 22 1-15,-39-12-3 16</inkml:trace>
          <inkml:trace contextRef="#ctx0" brushRef="#br0" timeOffset="2801.219">4768-99 505 0,'-3'75'150'0,"-21"2"-64"16,9 4-87-16,10 11-7 0,10 12 1 15,-5 2 0-15,7 0 3 16,1-1 6-16,4-2 5 16,7 1 1-16,1-10 1 15,6-4-2-15,-1-12-2 16,2-9-5-16,-4-8-1 15,-1-15-2-15,-5-8-5 16,-5-13 1-16,-5-2-3 16,-7-23 0-16,0 0-1 15,-27-7 1-15,7-22 4 16,-7-14 3-16,-1-19-1 16,-6-16 7-16,9-17 3 15,3-5 5-15,7-10 5 0,18 10 1 16,4-3 0-16,20 19-3 15,1 10 3-15,15 22-5 16,-2 6 0 0,8 17-4-16,-5 10-1 0,7 9-1 15,-9 10-2-15,-3 12 1 16,-1 3-2-16,-1 11 2 16,-7 5-4-16,-5 8 1 15,0 3-5-15,-4-2-2 16,0 4-4-16,-8-11-2 15,7 6-8-15,-6-20-8 16,16 4-16-16,-15-29-21 0,20 12-21 16,-8-22-17-16,18 4-6 15,2-7-9-15,-2-10 4 16,13 8 10-16</inkml:trace>
          <inkml:trace contextRef="#ctx0" brushRef="#br0" timeOffset="3169.994">6016 316 270 0,'12'-49'88'16,"-19"-2"-8"-16,-10-2-17 16,-10 13-6-16,-21 5-11 15,4 21-9-15,-19 7-10 16,12 24-9-16,-12 10-5 16,9 22-3-16,0 10-1 0,14 9-7 15,3-1-2-15,11-2-2 16,9-3 1-16,13-15 3 15,13-8 0 1,14-20 3-16,21-21 2 0,14-8 0 16,2-15 4-16,11-3 0 15,1-7 5-15,1 6-2 16,-4-5 2-16,4 18-1 16,-17 6 0-16,3 19-2 15,-5 8-3-15,4 17-1 16,1 5-7-16,5 9-1 15,6 6-10-15,-2-8-5 16,16 2-16-16,-7-26-26 0,25-5-72 16,2-8-35-1,-10-42-6-15,19-1 1 16,-23-36 33-16</inkml:trace>
          <inkml:trace contextRef="#ctx0" brushRef="#br0" timeOffset="30669.616">6702 122 112 0,'0'0'113'16,"0"0"2"-16,-3-27-76 15,3 27-8-15,24-17 4 16,-6 15-2 0,-18 2 2-16,33 2-3 0,-33-2-3 15,29 27-6-15,-16-7 1 16,8 8-10-16,-1-1-4 16,10-3-8-16,0-4-1 15,11-6-3-15,7-8 2 16,6-9 0-16,2-10-2 15,11-6 1-15,0 0-12 16,-7-8-15-16,8 6-25 16,-19 6-34-16,-18-2-33 0,-7 29-5 15,-24-12-14-15,-8 32 62 16</inkml:trace>
          <inkml:trace contextRef="#ctx0" brushRef="#br0" timeOffset="30982.191">7006 64 237 0,'-5'26'132'0,"-23"-33"2"0,28 7-87 16,0 0-33-16,16 7-9 15,1 8-9-15,4 17-4 16,-4 11-10-16,5 21-17 16,-16 11-36-16,-9 13-31 15,8 38-20-15,-40-15-10 16,23 27 56-16,-42-37 76 15</inkml:trace>
        </inkml:traceGroup>
      </inkml:traceGroup>
    </inkml:traceGroup>
    <inkml:traceGroup>
      <inkml:annotationXML>
        <emma:emma xmlns:emma="http://www.w3.org/2003/04/emma" version="1.0">
          <emma:interpretation id="{F9747740-1EA5-48F0-92BB-EEE1EA596E96}" emma:medium="tactile" emma:mode="ink">
            <msink:context xmlns:msink="http://schemas.microsoft.com/ink/2010/main" type="paragraph" rotatedBoundingBox="29035,124313 36266,124614 36178,126736 28946,12643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EDC4747-1C32-45C1-8D9C-ADC93EFD4102}" emma:medium="tactile" emma:mode="ink">
              <msink:context xmlns:msink="http://schemas.microsoft.com/ink/2010/main" type="line" rotatedBoundingBox="29035,124313 36266,124614 36178,126736 28946,126436"/>
            </emma:interpretation>
          </emma:emma>
        </inkml:annotationXML>
        <inkml:traceGroup>
          <inkml:annotationXML>
            <emma:emma xmlns:emma="http://www.w3.org/2003/04/emma" version="1.0">
              <emma:interpretation id="{DE68F5EE-E5EB-472C-A05E-62FB50141251}" emma:medium="tactile" emma:mode="ink">
                <msink:context xmlns:msink="http://schemas.microsoft.com/ink/2010/main" type="inkWord" rotatedBoundingBox="29215,124693 32036,125428 31679,126795 28859,126060"/>
              </emma:interpretation>
            </emma:emma>
          </inkml:annotationXML>
          <inkml:trace contextRef="#ctx0" brushRef="#br0" timeOffset="75352.367">752 2544 400 0,'12'-25'158'15,"21"29"-8"-15,-33-4-109 16,44 30-58-16,-2-23-23 16,25 13-27-16,-5-11-40 15,6-6-19-15,13 2-15 0,-15-25 0 16,15 20 32-16</inkml:trace>
          <inkml:trace contextRef="#ctx0" brushRef="#br0" timeOffset="75196.687">725 2945 251 0,'0'0'133'0,"6"-16"-6"16,15-2-87-16,-5 15-46 15,6 11-13-15,-1 5-5 16,7 15-2-16,-10 0 0 15,-1 18 2-15,-5-2 3 16,-7 14 5-16,-1-9 6 16,-1-2 3-16,-3-10 2 15,0-4 1-15,0-15-2 16,0-18 2-16,18-5 1 16,-1-22 1-16,5-6 0 15,11-9 4-15,-6 1 3 16,11-4 8-16,-6 8 5 15,6 6 6-15,-4 20-1 0,0 11 0 16,-1 20-3-16,-8 18-6 16,4 14-4-1,-8 12-8-15,-7 5-5 0,-6 13-5 16,-12 0-1-16,-13 1 0 16,-8-6 0-16,-11-7 2 15,-4-5-5-15,-7-14-9 16,-4-8-25-16,-8-22-28 15,14-1-10-15,-24-37-13 16,30 12-5-16,-32-45 84 16</inkml:trace>
          <inkml:trace contextRef="#ctx0" brushRef="#br0" timeOffset="76032.231">1490 3038 321 0,'-14'-47'134'16,"33"31"-1"-16,1-12-113 15,11 2-28-15,17 4-3 16,6 15-2-16,5 7 1 15,4 19 1-15,-7 15 2 16,0 12 3-16,-10 11 4 16,-10 5 4-16,-10 7 4 0,-9-7-1 15,-12 3 5-15,-17-2-4 16,-6-9 3 0,-21-6-5-16,-1-2 0 0,-19-10-3 15,-1-4-3-15,-7-12 1 16,-9-1-1-16,10-4 3 15,-3-1-3-15,14-2 4 16,1 4 1-16,15-1 1 16,9 14 0-16,12-4 3 15,16 11 0-15,13-7 3 16,20 6 2-16,1-8 4 16,28 5 2-16,2-14 4 15,20-3 2-15,10-15-2 0,14 2-2 16,3-16-4-16,1 2-7 15,4-12-18-15,-14-8-33 16,6-2-62-16,-9-1-27 16,-25-27-13-16,-1 3-6 15,-32-28-4-15</inkml:trace>
          <inkml:trace contextRef="#ctx0" brushRef="#br0" timeOffset="74177.04">-286 3143 149 0,'-28'-22'120'0,"28"22"-1"16,-17 0-70-16,17 0-31 0,7-27-7 16,7 10-4-16,7 5-6 15,3-2-6-15,6 6-2 16,3 8-2-16,2 5-6 15,-2 12-4-15,0-2-3 16,3 10-2-16,-7-6-4 16,4-3-9-16,-5-4-16 15,-5-22-22-15,9 13-5 16,-23-38-5-16,21 28 71 16</inkml:trace>
          <inkml:trace contextRef="#ctx0" brushRef="#br0" timeOffset="74416.323">18 2754 256 0,'-6'16'141'15,"6"-16"5"-15,-31 32-92 16,38 16-25-16,-2 15-13 0,11 15-14 15,2 25-23 1,-1 3-16-16,14 11-34 16,-7 0-26-16,-4-19-21 15,6 1-6-15,-30-39-5 16,16 6 83-16</inkml:trace>
        </inkml:traceGroup>
        <inkml:traceGroup>
          <inkml:annotationXML>
            <emma:emma xmlns:emma="http://www.w3.org/2003/04/emma" version="1.0">
              <emma:interpretation id="{F44AA47C-6E4A-4A16-BE8D-BCD3A2EFDB97}" emma:medium="tactile" emma:mode="ink">
                <msink:context xmlns:msink="http://schemas.microsoft.com/ink/2010/main" type="inkWord" rotatedBoundingBox="32527,124459 34935,124559 34857,126435 32449,126335"/>
              </emma:interpretation>
            </emma:emma>
          </inkml:annotationXML>
          <inkml:trace contextRef="#ctx0" brushRef="#br0" timeOffset="78795.804">4738 2993 332 0,'44'-82'130'15,"-36"-39"0"-15,-18 13-132 16,12 0-8-16,6 1 4 16,-14 4 2-16,-1 7 4 15,-7 13 7-15,-6 13 4 16,8 26 0-16,-7 12 0 15,4 27-2-15,-6 22-1 16,-1 26 1-16,-4 26-7 16,2 21-3-16,-3 29-8 15,-2 14-7-15,8 22-3 16,-4-1 2-16,12 9-3 16,6-12 2-16,12-9 3 0,7-16 1 15,16-24 5-15,2-15 5 16,17-28-1-16,-2-17-2 15,16-26-1-15,-3-19-2 16,9-19-1-16,0-19 4 16,-3-12 0-16,4-24 3 15,-13-11 4-15,7-13 2 16,-3-10 4-16,-7-6 1 16,-6-2-1-16,0-3 0 15,-15 7 4-15,-3 7 6 16,-15 17 6-16,-2 15 4 15,-14 17 4-15,-5 29 1 16,-13 14 1-16,-1 34-2 0,-12 15-7 16,2 32-7-16,-6 19-15 15,-5 13-13-15,9 26-10 16,-9 0-8 0,16 12-4-16,-5-11-2 0,20 3-1 15,0-13 0-15,20-17 5 16,-3-12 8-16,21-26 3 15,10-14 0-15,6-20-5 16,13-13-11-16,5-25-5 16,6-7-11-16,-3-18-4 15,14 1-5-15,-14-18 4 16,5 5 6-16</inkml:trace>
          <inkml:trace contextRef="#ctx0" brushRef="#br0" timeOffset="77410.865">3184 3876 291 0,'36'-2'110'15,"-27"-44"-9"-15,1 11-126 16,22-18-15-16,6 2 4 0,1-14 11 16,-4 6 8-1,-2-11 12-15,-5 9 11 0,-7 4 6 16,-8 6 5-16,1 5 0 16,-9 13-3-16,-5 10-3 15,0 23-4-15,-22 3-3 16,3 19-2-16,-5 11 2 15,-3 7-5-15,0 5 0 16,2 3-4-16,5 1-1 16,8-3-1-16,4-3-1 15,16-8-1-15,11-4-3 16,6-1-1-16,12-4-3 16,10-7 5-16,4-4 1 15,6-10 3-15,0-8 4 16,5-10 1-16,-8-15 3 0,10-9 2 15,-9-11 4-15,4-5-2 16,-1-12 1-16,-5 6-4 16,-4-1-4-16,-7 7-1 15,0 9 0-15,-13 8 2 16,-3 12 1-16,-11 12 3 16,-15 12-1-16,0 0 1 15,10 26 2-15,-17-2 1 0,-2 3 1 16,-3 0 1-1,0 5 1-15,-3-4 1 16,4 1 6-16,-1-11 5 16,7 3 5-16,5-21 1 0,-19 32 3 15,19-32-3-15,-3 33-1 16,3-16-4-16,13 12-5 16,-3-3-4-16,8 7-10 15,4-2-3-15,-1 6-5 16,9-4-2-16,-1-4-7 15,0 0-6-15,-2-12-14 16,1 0-19-16,-2-9-33 16,-26-8-16-16,33-6-15 15,-41-23 0-15,8 29 40 16</inkml:trace>
          <inkml:trace contextRef="#ctx0" brushRef="#br0" timeOffset="77588.843">4323 2693 316 0,'-2'39'104'16,"-32"-31"-22"-16,29 8-134 16,-7 11-57-16,-1-8-18 15,23 12-3-15,-10-31 47 16</inkml:trace>
        </inkml:traceGroup>
        <inkml:traceGroup>
          <inkml:annotationXML>
            <emma:emma xmlns:emma="http://www.w3.org/2003/04/emma" version="1.0">
              <emma:interpretation id="{D98FC4F5-5A48-4F0D-BA0E-95B9F619E356}" emma:medium="tactile" emma:mode="ink">
                <msink:context xmlns:msink="http://schemas.microsoft.com/ink/2010/main" type="inkWord" rotatedBoundingBox="34865,125566 36224,125623 36178,126736 34818,126680"/>
              </emma:interpretation>
            </emma:emma>
          </inkml:annotationXML>
          <inkml:trace contextRef="#ctx0" brushRef="#br0" timeOffset="79543.6">5825 3126 321 0,'-16'-20'88'16,"-5"17"-7"-16,-4 8-18 0,3 20-20 16,-11 4-19-16,12 10-18 15,0 11-18-15,0-4-3 16,7 9-5-16,3-15 3 16,18-7 0-16,-2-10 4 15,21-12 3-15,-1-13 6 16,13-14 6-16,4-10 4 15,-1-4 2-15,7-5-3 16,-7 0 1-16,2 3-3 0,-14 8 1 16,0 4 0-1,-7 12 3-15,-2 8 1 0,-2 6-1 16,-3 11 2 0,-2 0-4-16,10 7 2 0,-8-2-2 15,8 6 0-15,2-9-2 16,4 1-1-16,-1-8 0 15,7-4 0-15,-1-1 0 16,0-2 1-16,4-3 0 16,-5-2-2-16,6 0 0 15,2-3-1-15,-4-1 0 16,6-1-1-16,4 1 2 0,-1 1 0 16,1 3 0-1,-5 5 0-15,-7 4 3 16,2 10 3-16,-12 6 0 15,3 11 2-15,-7 6 1 0,-3 11-2 16,-4 0 1-16,1 12-3 16,-3 1 3-16,0 1-3 15,-3 0 3-15,1 3-1 16,-14-14 2-16,1-1 1 16,-21-9 1-16,0-7 3 15,-20-19-4-15,-8-4-1 16,-20-13-2-16,-2-3 1 15,-13-6-3-15,7 0 0 0,0 1-1 16,13 2-3 0,3 3 1-16,13 7-1 15,18 5-3-15,12 2-4 16,18 4-2-16,3-18-2 0,39 12-5 16,5-35-11-16,45-3-37 15,5-34-64-15,16-31-16 16,24 1-10-16</inkml:trace>
        </inkml:traceGroup>
      </inkml:traceGroup>
    </inkml:traceGroup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  <inkml:channel name="T" type="integer" max="2.14748E9" units="dev"/>
        </inkml:traceFormat>
        <inkml:channelProperties>
          <inkml:channelProperty channel="X" name="resolution" value="159.33852" units="1/cm"/>
          <inkml:channelProperty channel="Y" name="resolution" value="284.375" units="1/cm"/>
          <inkml:channelProperty channel="T" name="resolution" value="1" units="1/dev"/>
        </inkml:channelProperties>
      </inkml:inkSource>
      <inkml:timestamp xml:id="ts0" timeString="2023-09-17T08:23:32.912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EDE8FCD1-588D-4D73-A970-C529C0B6781E}" emma:medium="tactile" emma:mode="ink">
          <msink:context xmlns:msink="http://schemas.microsoft.com/ink/2010/main" type="writingRegion" rotatedBoundingBox="22912,122582 23574,122582 23574,122955 22912,122955"/>
        </emma:interpretation>
      </emma:emma>
    </inkml:annotationXML>
    <inkml:traceGroup>
      <inkml:annotationXML>
        <emma:emma xmlns:emma="http://www.w3.org/2003/04/emma" version="1.0">
          <emma:interpretation id="{8C47AEF3-0BBE-4A83-9064-7154A0FC9679}" emma:medium="tactile" emma:mode="ink">
            <msink:context xmlns:msink="http://schemas.microsoft.com/ink/2010/main" type="paragraph" rotatedBoundingBox="22912,122582 23574,122582 23574,122955 22912,12295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727B6D73-8105-4023-9ECF-AC6124773EA5}" emma:medium="tactile" emma:mode="ink">
              <msink:context xmlns:msink="http://schemas.microsoft.com/ink/2010/main" type="line" rotatedBoundingBox="22912,122582 23574,122582 23574,122955 22912,122955"/>
            </emma:interpretation>
          </emma:emma>
        </inkml:annotationXML>
        <inkml:traceGroup>
          <inkml:annotationXML>
            <emma:emma xmlns:emma="http://www.w3.org/2003/04/emma" version="1.0">
              <emma:interpretation id="{313EBAF3-D70C-49C5-B572-0B60281DE3A4}" emma:medium="tactile" emma:mode="ink">
                <msink:context xmlns:msink="http://schemas.microsoft.com/ink/2010/main" type="inkWord" rotatedBoundingBox="22912,122940 22927,122940 22927,122955 22912,122955"/>
              </emma:interpretation>
            </emma:emma>
          </inkml:annotationXML>
          <inkml:trace contextRef="#ctx0" brushRef="#br0">-647 358 0,'0'0'16,"0"0"-16,0 0 15,0 0-15,0 0 16,0 0-16,0 0 15,0 0-15,0 0 16,0 0 0</inkml:trace>
        </inkml:traceGroup>
        <inkml:traceGroup>
          <inkml:annotationXML>
            <emma:emma xmlns:emma="http://www.w3.org/2003/04/emma" version="1.0">
              <emma:interpretation id="{D020C305-2F27-4074-93AD-73E1CD78D40F}" emma:medium="tactile" emma:mode="ink">
                <msink:context xmlns:msink="http://schemas.microsoft.com/ink/2010/main" type="inkWord" rotatedBoundingBox="23559,122582 23574,122582 23574,122597 23559,122597"/>
              </emma:interpretation>
            </emma:emma>
          </inkml:annotationXML>
          <inkml:trace contextRef="#ctx0" brushRef="#br0" timeOffset="-1728.438">0 0 0,'0'0'0,"0"0"0,0 0 0,0 0 0,0 0 31</inkml:trace>
        </inkml:traceGroup>
      </inkml:traceGroup>
    </inkml:traceGroup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25632" units="cm"/>
          <inkml:channel name="Y" type="integer" max="14418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995.03107" units="1/cm"/>
          <inkml:channelProperty channel="Y" name="resolution" value="991.60938" units="1/cm"/>
          <inkml:channelProperty channel="F" name="resolution" value="8.05512E-5" units="1/dev"/>
          <inkml:channelProperty channel="T" name="resolution" value="1" units="1/dev"/>
        </inkml:channelProperties>
      </inkml:inkSource>
      <inkml:timestamp xml:id="ts0" timeString="2023-09-17T08:24:18.944"/>
    </inkml:context>
    <inkml:brush xml:id="br0">
      <inkml:brushProperty name="width" value="0.01764" units="cm"/>
      <inkml:brushProperty name="height" value="0.01764" units="cm"/>
    </inkml:brush>
  </inkml:definitions>
  <inkml:trace contextRef="#ctx0" brushRef="#br0">27 427 28 0,'-20'-17'93'16,"20"17"-19"-16,0 0-16 15,0 0-4-15,0 0 7 16,-7-24-3-16,10 8-7 16,1-8-10-16,5 0-7 0,-1-7-7 15,14 0-8-15,-7-5-6 16,8-2-7-16,6 2-1 15,0 7-3 1,1-1 0-16,0 8-3 0,5-1 1 16,-9 6 1-16,-2 0 1 15,-3 10 3-15,-7 2 4 16,-14 5 1-16,25 15 0 16,-17 11 2-16,-8 9-5 15,4 10-2-15,-4 8-10 16,0 4-7-16,0 5-12 15,-4-12 1-15,8 0-7 16,-13-16-2-16,6-8-7 0,3-26 0 16,-16 2 5-16,5-21 5 15,10-3 7 1,-1-6 1-16,5 2 9 16,8-5 6-16,9 5 12 0,14 6 6 15,3 2 5-15,14 8 4 16,9 5 0-16,13 7 1 15,-4 1 0-15,8 9 0 16,-5-3-2-16,7 8-1 16,-10-7-4-16,-5 9 0 15,-17-7 0-15,-7 5 0 16,-22-1-4-16,-16 5-2 16,-20-4-3-16,-11 5 3 15,-23-4-2-15,-2 2 1 16,-10-4-3-16,2-1 0 15,8-8-2-15,12 0-1 16,7-2-1-16,14-1 0 0,21-4 4 16,0 0-1-16,14 24 5 15,15-7-1-15,5-5 4 16,20 7-2-16,12-5 0 16,13 1-15-16,8-6-29 15,-3-6-73-15,-13-25-43 16,19 17-4-16,-43-31-2 15,13 18 38-15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ax="25632" units="cm"/>
          <inkml:channel name="Y" type="integer" max="14418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995.03107" units="1/cm"/>
          <inkml:channelProperty channel="Y" name="resolution" value="991.60938" units="1/cm"/>
          <inkml:channelProperty channel="F" name="resolution" value="8.05512E-5" units="1/dev"/>
          <inkml:channelProperty channel="T" name="resolution" value="1" units="1/dev"/>
        </inkml:channelProperties>
      </inkml:inkSource>
      <inkml:timestamp xml:id="ts0" timeString="2023-09-17T08:24:19.460"/>
    </inkml:context>
    <inkml:brush xml:id="br0">
      <inkml:brushProperty name="width" value="0.01764" units="cm"/>
      <inkml:brushProperty name="height" value="0.01764" units="cm"/>
    </inkml:brush>
  </inkml:definitions>
  <inkml:trace contextRef="#ctx0" brushRef="#br0">95 0 501 0,'0'0'148'16,"29"4"-7"-16,-29-4-170 15,0 0-38-15,-29 12-44 16,5-7-37-16,10 18-13 15,-24-30 5-15,19 20 39 16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Group>
    <inkml:annotationXML>
      <emma:emma xmlns:emma="http://www.w3.org/2003/04/emma" version="1.0">
        <emma:interpretation id="{3698CD8C-022B-4FF6-AD75-424EE1E36347}" emma:medium="tactile" emma:mode="ink">
          <msink:context xmlns:msink="http://schemas.microsoft.com/ink/2010/main" type="writingRegion" rotatedBoundingBox="29911,12299 31044,12299 31044,14280 29911,14280"/>
        </emma:interpretation>
      </emma:emma>
    </inkml:annotationXML>
    <inkml:traceGroup>
      <inkml:annotationXML>
        <emma:emma xmlns:emma="http://www.w3.org/2003/04/emma" version="1.0">
          <emma:interpretation id="{A71319C8-F235-453A-8BD6-C51BB6786E1D}" emma:medium="tactile" emma:mode="ink">
            <msink:context xmlns:msink="http://schemas.microsoft.com/ink/2010/main" type="paragraph" rotatedBoundingBox="29911,12299 31044,12299 31044,14280 29911,1428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34E3B5E-8F47-41A4-95D1-83B6944791B2}" emma:medium="tactile" emma:mode="ink">
              <msink:context xmlns:msink="http://schemas.microsoft.com/ink/2010/main" type="line" rotatedBoundingBox="29911,12299 31044,12299 31044,14280 29911,14280"/>
            </emma:interpretation>
          </emma:emma>
        </inkml:annotationXML>
        <inkml:traceGroup>
          <inkml:annotationXML>
            <emma:emma xmlns:emma="http://www.w3.org/2003/04/emma" version="1.0">
              <emma:interpretation id="{9286882A-9754-4AA4-853B-649C1F5D4A18}" emma:medium="tactile" emma:mode="ink">
                <msink:context xmlns:msink="http://schemas.microsoft.com/ink/2010/main" type="inkWord" rotatedBoundingBox="29911,12299 31044,12299 31044,14280 29911,14280"/>
              </emma:interpretation>
            </emma:emma>
          </inkml:annotationXML>
          <inkml:trace contextRef="#ctx0" brushRef="#br0">405 0 174 0,'0'0'117'16,"0"0"-7"-16,0 0-9 15,0 0-12-15,0 0-13 0,0 0-18 16,0 0-10-16,0 25-9 16,0-25-9-16,2 45-7 15,-2-18-6-15,4 22-2 16,-4-7-5-16,5 15 5 15,-5 2-8-15,0 9 2 16,0 0-4-16,0 3 5 16,-5 0-7-16,4 7 1 15,-4-7 2-15,5 2-5 16,-1-3 4-16,0 5-3 16,-2-10 5-16,3 10-6 15,-2-17 5-15,-1 14-2 16,-2-10-3-16,0 8 4 0,-2-10-3 15,3-4 1-15,-4-1-5 16,5-6 1-16,-2-4 1 16,2-1 1-1,0 1-1-15,3-7-3 0,-1-1 7 16,1 0-5-16,0-8 4 16,0 5-1-16,0-5 3 15,0 1-5-15,0-10 5 16,0-20-5-16,0 27-1 15,0-27 1-15,0 0 2 16,0 0-4-16,0 0 1 16,0 0 1-16,0 0-1 0,0 0 2 15,0 0 0 1,2 15 0-16,-2-15 0 16,0 0 3-16,0 0-2 15,0 0-2-15,0 0 0 0,0 0 0 16,0 0 0-16,0 0 0 15,0 0 0-15,0 0 0 16,0 0 0-16,0 0 0 16,0 0 0-16,0 0 0 15,0 0 0-15,0 0 0 16,0 0 0-16,0 0 0 16,0 0 0-16,0 0 0 15,0 0 0-15,0 0 0 16,0 0 0-16,0 0 0 15,0 0 0-15,0 0 0 16,-7 4 0-16,7-4 0 16,-10-15 0-16,3-3 0 0,-3-1 0 15,-3-5 0-15,0-11 0 16,-2 7 0-16,-3-4 0 16,2-2 0-16,-1-16 0 15,3 9 0-15,-4-18 0 16,3 1 0-16,-2-12 0 15,-2-1 0-15,2-3 0 16,-1 4 0-16,0 8 0 16,0 3 0-16,1 12 0 15,-1 14 0-15,7 8 0 16,0 1 0-16,11 24 0 16,-11-27 0-16,11 27 0 15,-5-31 0-15,5 12 0 0,0 3 0 16,0 16 0-16,0-28 0 15,0 28 0-15,0 0 0 16,0-15 0-16,0 15 0 16,0 0 0-16,0 0 0 15,0 0 0-15,0 0 0 16,6 15 0-16,-6-15 0 16,17 34 0-16,-11 0 0 15,8-1 0-15,1 11 0 16,0-4 0-16,-2 12 0 15,3-2 0-15,-1 8 0 16,-1 1 0-16,-1 1 0 16,1-1 0-16,-2 0 0 0,3-13 0 15,-5 3 0-15,4-3 0 16,-2 0 0-16,1-1 0 16,-3-8 0-16,5-2 0 15,-4 3 0-15,4-7 0 16,-6-1 0-16,-1 0 0 15,2-8 0-15,-4-5 0 16,-6-17 0-16,9 21 0 16,-9-21 0-16,0 0 0 15,0 0 0-15,11 21 0 16,-11-21 0-16,0 0 0 16,0 0 0-16,13 16 0 15,-13-16 0-15,0 0 0 0,0 0 0 16,15 6 0-16,-15-6 0 15,0 0 0-15,17-14 0 16,-17 14 0 0,15-31 0-16,-3 12 0 0,-2-2 0 15,4-9 0-15,5-2 0 16,-1 2 0-16,2-1 0 16,2-2 0-16,-1-3 0 15,4-7 0-15,-1-3 0 16,2-6 0-16,-1 8 0 15,1-10 0-15,5 1 0 16,-2-6 0-16,2 3 0 0,1 1 0 16,0-2 0-16,0 2 0 15,1-2 0 1,-5 8 0-16,1-5 0 16,-5 5 0-16,-3 9 0 0,-4-4 0 15,-3 4 0-15,-2 2 0 16,-5 9 0-16,-3-1 0 15,-1 8 0-15,-1 9 0 16,-2-7 0-16,0 20 0 16,0 0 0-16,0 0 0 15,0 0 0-15,26 10 0 16,-13 3 0-16,10 14-8 16,-23-27-32-16,30 32-10 0,-30-32-16 15</inkml:trace>
        </inkml:traceGroup>
      </inkml:traceGroup>
    </inkml:traceGroup>
  </inkml:traceGroup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David Orosz" id="{0F5AEAA7-636F-4F88-B919-BC163B56DF82}" userId="S::david.orosz@polat.com::b192f232-2fb8-4ccb-9f65-4c8ef07817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2-02-08T12:54:09.61" personId="{0F5AEAA7-636F-4F88-B919-BC163B56DF82}" id="{3E46EB7C-4594-49B3-BBB9-8E0A85F28730}">
    <text>Nem biztos hogy kell</text>
  </threadedComment>
  <threadedComment ref="C41" dT="2022-02-08T12:49:10.33" personId="{0F5AEAA7-636F-4F88-B919-BC163B56DF82}" id="{D47B3258-C2B6-4795-94FA-B777CE860A96}">
    <text>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kab.viktoria@gmail.com" TargetMode="External"/><Relationship Id="rId1" Type="http://schemas.openxmlformats.org/officeDocument/2006/relationships/hyperlink" Target="mailto:auracolor@hotmail.com%20%20T&#243;th%20R&#243;bert%20+3630%2068%2000%2044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topLeftCell="B13" zoomScale="141" zoomScaleNormal="141" workbookViewId="0">
      <selection activeCell="I26" sqref="I26"/>
    </sheetView>
  </sheetViews>
  <sheetFormatPr defaultRowHeight="14.5" x14ac:dyDescent="0.35"/>
  <cols>
    <col min="1" max="1" width="37" customWidth="1"/>
    <col min="2" max="2" width="24.453125" customWidth="1"/>
    <col min="3" max="3" width="16.7265625" bestFit="1" customWidth="1"/>
    <col min="4" max="4" width="15.26953125" bestFit="1" customWidth="1"/>
    <col min="5" max="5" width="15.54296875" bestFit="1" customWidth="1"/>
    <col min="6" max="6" width="16.26953125" bestFit="1" customWidth="1"/>
    <col min="7" max="7" width="21.7265625" style="189" customWidth="1"/>
    <col min="8" max="8" width="13.26953125" bestFit="1" customWidth="1"/>
    <col min="11" max="11" width="10.08984375" bestFit="1" customWidth="1"/>
  </cols>
  <sheetData>
    <row r="1" spans="1:11" x14ac:dyDescent="0.35">
      <c r="D1" s="583"/>
      <c r="E1" s="583"/>
    </row>
    <row r="2" spans="1:11" ht="32.25" customHeight="1" x14ac:dyDescent="0.7">
      <c r="A2" s="35" t="s">
        <v>0</v>
      </c>
      <c r="B2" s="385"/>
      <c r="C2" s="386"/>
      <c r="D2" s="584"/>
      <c r="E2" s="584"/>
    </row>
    <row r="3" spans="1:11" ht="51.75" customHeight="1" thickBot="1" x14ac:dyDescent="0.75">
      <c r="A3" s="35" t="str">
        <f>Díj!A2</f>
        <v>Jakab Viktória</v>
      </c>
      <c r="B3" s="578" t="str">
        <f>Díj!A3</f>
        <v>jakab.viktoria@gmail.com</v>
      </c>
      <c r="C3" s="578"/>
      <c r="D3" s="578"/>
    </row>
    <row r="4" spans="1:11" ht="95.25" customHeight="1" thickBot="1" x14ac:dyDescent="0.4">
      <c r="A4" s="45" t="s">
        <v>1</v>
      </c>
      <c r="B4" s="6" t="s">
        <v>2</v>
      </c>
      <c r="C4" s="6" t="s">
        <v>3</v>
      </c>
      <c r="D4" s="14" t="s">
        <v>4</v>
      </c>
      <c r="E4" s="14" t="s">
        <v>5</v>
      </c>
      <c r="F4" s="14" t="s">
        <v>6</v>
      </c>
      <c r="G4" s="14" t="s">
        <v>7</v>
      </c>
    </row>
    <row r="5" spans="1:11" ht="15.5" x14ac:dyDescent="0.35">
      <c r="A5" s="4" t="s">
        <v>8</v>
      </c>
      <c r="B5" s="1">
        <f>Díj!A9</f>
        <v>158483</v>
      </c>
      <c r="C5" s="15">
        <f>Díj!H9</f>
        <v>192391</v>
      </c>
      <c r="D5" s="1">
        <f>Anyag!A8</f>
        <v>0</v>
      </c>
      <c r="E5" s="15">
        <f>Anyag!E8</f>
        <v>0</v>
      </c>
      <c r="F5" s="384">
        <f>SUM(C5:D5)</f>
        <v>192391</v>
      </c>
      <c r="G5" s="1">
        <f>D5+B5</f>
        <v>158483</v>
      </c>
    </row>
    <row r="6" spans="1:11" ht="15.5" x14ac:dyDescent="0.35">
      <c r="A6" s="4" t="s">
        <v>9</v>
      </c>
      <c r="B6" s="1">
        <f>Díj!A21</f>
        <v>0</v>
      </c>
      <c r="C6" s="15">
        <f>Díj!H21</f>
        <v>0</v>
      </c>
      <c r="D6" s="1">
        <f>Anyag!A14</f>
        <v>0</v>
      </c>
      <c r="E6" s="15">
        <f>Anyag!E14</f>
        <v>0</v>
      </c>
      <c r="F6" s="384">
        <f t="shared" ref="F6:F19" si="0">E6+C6</f>
        <v>0</v>
      </c>
      <c r="G6" s="1">
        <f t="shared" ref="G6:G19" si="1">D6+B6</f>
        <v>0</v>
      </c>
      <c r="K6" s="2"/>
    </row>
    <row r="7" spans="1:11" ht="15.5" x14ac:dyDescent="0.35">
      <c r="A7" s="4" t="s">
        <v>10</v>
      </c>
      <c r="B7" s="1">
        <f>Díj!A29</f>
        <v>132000</v>
      </c>
      <c r="C7" s="15">
        <f>Díj!H29</f>
        <v>189000</v>
      </c>
      <c r="D7" s="1">
        <f>Anyag!A32</f>
        <v>131200</v>
      </c>
      <c r="E7" s="15">
        <f>Anyag!E32</f>
        <v>123200</v>
      </c>
      <c r="F7" s="384">
        <f t="shared" si="0"/>
        <v>312200</v>
      </c>
      <c r="G7" s="1">
        <f t="shared" si="1"/>
        <v>263200</v>
      </c>
      <c r="K7" s="2"/>
    </row>
    <row r="8" spans="1:11" ht="15.5" x14ac:dyDescent="0.35">
      <c r="A8" s="4" t="s">
        <v>11</v>
      </c>
      <c r="B8" s="1">
        <f>Díj!A42</f>
        <v>215000</v>
      </c>
      <c r="C8" s="15">
        <f>Díj!H42</f>
        <v>246000</v>
      </c>
      <c r="D8" s="1">
        <f>Anyag!A48</f>
        <v>209400</v>
      </c>
      <c r="E8" s="15">
        <f>Anyag!E48</f>
        <v>172000</v>
      </c>
      <c r="F8" s="384">
        <f t="shared" si="0"/>
        <v>418000</v>
      </c>
      <c r="G8" s="1">
        <f t="shared" si="1"/>
        <v>424400</v>
      </c>
    </row>
    <row r="9" spans="1:11" ht="15.5" x14ac:dyDescent="0.35">
      <c r="A9" s="4" t="s">
        <v>12</v>
      </c>
      <c r="B9" s="1">
        <f>Díj!A53</f>
        <v>79316</v>
      </c>
      <c r="C9" s="15">
        <f>Díj!H53</f>
        <v>40000</v>
      </c>
      <c r="D9" s="1">
        <f>Anyag!A68</f>
        <v>83240</v>
      </c>
      <c r="E9" s="15">
        <f>Anyag!E68</f>
        <v>127000</v>
      </c>
      <c r="F9" s="384">
        <f t="shared" si="0"/>
        <v>167000</v>
      </c>
      <c r="G9" s="1">
        <f t="shared" si="1"/>
        <v>162556</v>
      </c>
    </row>
    <row r="10" spans="1:11" ht="15.5" x14ac:dyDescent="0.35">
      <c r="A10" s="4" t="s">
        <v>13</v>
      </c>
      <c r="B10" s="1">
        <f>Díj!A61</f>
        <v>0</v>
      </c>
      <c r="C10" s="15">
        <f>Díj!H61</f>
        <v>0</v>
      </c>
      <c r="D10" s="1">
        <f>Anyag!A78</f>
        <v>0</v>
      </c>
      <c r="E10" s="15">
        <f>Anyag!E78</f>
        <v>0</v>
      </c>
      <c r="F10" s="384">
        <f t="shared" si="0"/>
        <v>0</v>
      </c>
      <c r="G10" s="1">
        <f t="shared" si="1"/>
        <v>0</v>
      </c>
    </row>
    <row r="11" spans="1:11" ht="15.5" x14ac:dyDescent="0.35">
      <c r="A11" s="4" t="s">
        <v>14</v>
      </c>
      <c r="B11" s="1">
        <f>Díj!A75</f>
        <v>429684</v>
      </c>
      <c r="C11" s="15">
        <f>Díj!H75</f>
        <v>464034</v>
      </c>
      <c r="D11" s="1">
        <f>Anyag!A88</f>
        <v>141031.52000000002</v>
      </c>
      <c r="E11" s="15">
        <f>Anyag!E88</f>
        <v>170731.52000000002</v>
      </c>
      <c r="F11" s="384">
        <f>E11+C11</f>
        <v>634765.52</v>
      </c>
      <c r="G11" s="1">
        <f t="shared" si="1"/>
        <v>570715.52</v>
      </c>
    </row>
    <row r="12" spans="1:11" ht="15.5" x14ac:dyDescent="0.35">
      <c r="A12" s="4" t="s">
        <v>15</v>
      </c>
      <c r="B12" s="1">
        <f>Díj!A96</f>
        <v>350249.7</v>
      </c>
      <c r="C12" s="15">
        <f>Díj!H96</f>
        <v>479251</v>
      </c>
      <c r="D12" s="1">
        <f>Anyag!A98</f>
        <v>186327.25</v>
      </c>
      <c r="E12" s="15">
        <f>Anyag!E98</f>
        <v>188800</v>
      </c>
      <c r="F12" s="384">
        <f>E12+C12</f>
        <v>668051</v>
      </c>
      <c r="G12" s="1">
        <f t="shared" si="1"/>
        <v>536576.94999999995</v>
      </c>
    </row>
    <row r="13" spans="1:11" ht="15.5" x14ac:dyDescent="0.35">
      <c r="A13" s="4" t="s">
        <v>16</v>
      </c>
      <c r="B13" s="1">
        <f>Díj!A127</f>
        <v>6500</v>
      </c>
      <c r="C13" s="15">
        <f>Díj!H127</f>
        <v>9750</v>
      </c>
      <c r="D13" s="1">
        <f>Anyag!A117</f>
        <v>9000</v>
      </c>
      <c r="E13" s="15">
        <f>Anyag!E117</f>
        <v>9000</v>
      </c>
      <c r="F13" s="384">
        <f t="shared" si="0"/>
        <v>18750</v>
      </c>
      <c r="G13" s="1">
        <f t="shared" si="1"/>
        <v>15500</v>
      </c>
    </row>
    <row r="14" spans="1:11" ht="15.5" x14ac:dyDescent="0.35">
      <c r="A14" s="4" t="s">
        <v>17</v>
      </c>
      <c r="B14" s="1">
        <f>Díj!A135</f>
        <v>174000</v>
      </c>
      <c r="C14" s="15">
        <f>Díj!H135</f>
        <v>368500</v>
      </c>
      <c r="D14" s="1">
        <f>Anyag!A135</f>
        <v>0</v>
      </c>
      <c r="E14" s="15">
        <f>Anyag!E135</f>
        <v>0</v>
      </c>
      <c r="F14" s="384">
        <f t="shared" si="0"/>
        <v>368500</v>
      </c>
      <c r="G14" s="1">
        <f t="shared" si="1"/>
        <v>174000</v>
      </c>
    </row>
    <row r="15" spans="1:11" ht="15.5" x14ac:dyDescent="0.35">
      <c r="A15" s="4" t="s">
        <v>18</v>
      </c>
      <c r="B15" s="1">
        <f>Díj!A147</f>
        <v>0</v>
      </c>
      <c r="C15" s="15">
        <f>Díj!H147</f>
        <v>0</v>
      </c>
      <c r="D15" s="1">
        <f>Anyag!A153</f>
        <v>0</v>
      </c>
      <c r="E15" s="15">
        <f>Anyag!E153</f>
        <v>0</v>
      </c>
      <c r="F15" s="384">
        <f t="shared" si="0"/>
        <v>0</v>
      </c>
      <c r="G15" s="1">
        <f t="shared" si="1"/>
        <v>0</v>
      </c>
    </row>
    <row r="16" spans="1:11" ht="15.5" x14ac:dyDescent="0.35">
      <c r="A16" s="5" t="s">
        <v>19</v>
      </c>
      <c r="B16" s="1">
        <f>Díj!A151</f>
        <v>0</v>
      </c>
      <c r="C16" s="15">
        <f>Díj!H151</f>
        <v>0</v>
      </c>
      <c r="D16" s="1">
        <f>Anyag!A160</f>
        <v>0</v>
      </c>
      <c r="E16" s="15">
        <f>Anyag!E160</f>
        <v>0</v>
      </c>
      <c r="F16" s="384">
        <f>E16+C16</f>
        <v>0</v>
      </c>
      <c r="G16" s="1">
        <f t="shared" si="1"/>
        <v>0</v>
      </c>
    </row>
    <row r="17" spans="1:11" ht="15.5" x14ac:dyDescent="0.35">
      <c r="A17" s="4" t="s">
        <v>20</v>
      </c>
      <c r="B17" s="1">
        <f>Díj!A158</f>
        <v>155349.5</v>
      </c>
      <c r="C17" s="15">
        <f>Díj!H158</f>
        <v>195000</v>
      </c>
      <c r="D17" s="1">
        <f>Anyag!A178</f>
        <v>171000</v>
      </c>
      <c r="E17" s="15">
        <f>Anyag!E178</f>
        <v>216000</v>
      </c>
      <c r="F17" s="384">
        <f t="shared" si="0"/>
        <v>411000</v>
      </c>
      <c r="G17" s="1">
        <f t="shared" si="1"/>
        <v>326349.5</v>
      </c>
    </row>
    <row r="18" spans="1:11" ht="15.5" x14ac:dyDescent="0.35">
      <c r="A18" s="4" t="s">
        <v>21</v>
      </c>
      <c r="B18" s="16">
        <f>Díj!A166</f>
        <v>94500</v>
      </c>
      <c r="C18" s="15">
        <f>Díj!H166</f>
        <v>357000</v>
      </c>
      <c r="D18" s="1">
        <f>Anyag!A195</f>
        <v>6000</v>
      </c>
      <c r="E18" s="15">
        <f>Anyag!E195</f>
        <v>84000</v>
      </c>
      <c r="F18" s="384">
        <f t="shared" si="0"/>
        <v>441000</v>
      </c>
      <c r="G18" s="1">
        <f t="shared" si="1"/>
        <v>100500</v>
      </c>
    </row>
    <row r="19" spans="1:11" ht="15.5" x14ac:dyDescent="0.35">
      <c r="A19" s="4" t="s">
        <v>22</v>
      </c>
      <c r="B19" s="16">
        <f>Díj!A186</f>
        <v>117000</v>
      </c>
      <c r="C19" s="15">
        <f>Díj!H186</f>
        <v>353000</v>
      </c>
      <c r="D19" s="16">
        <f>Anyag!A212</f>
        <v>18000</v>
      </c>
      <c r="E19" s="15">
        <f>Anyag!E212</f>
        <v>43400</v>
      </c>
      <c r="F19" s="384">
        <f t="shared" si="0"/>
        <v>396400</v>
      </c>
      <c r="G19" s="1">
        <f t="shared" si="1"/>
        <v>135000</v>
      </c>
    </row>
    <row r="20" spans="1:11" ht="46.5" x14ac:dyDescent="0.35">
      <c r="A20" s="285" t="s">
        <v>23</v>
      </c>
      <c r="B20" s="186"/>
      <c r="C20" s="187"/>
      <c r="D20" s="186"/>
      <c r="E20" s="187"/>
      <c r="F20" s="188"/>
      <c r="G20" s="228" t="s">
        <v>24</v>
      </c>
    </row>
    <row r="21" spans="1:11" s="58" customFormat="1" ht="47" thickBot="1" x14ac:dyDescent="0.4">
      <c r="A21" s="203" t="s">
        <v>25</v>
      </c>
      <c r="B21" s="204">
        <f>B22*0.1</f>
        <v>191208.22</v>
      </c>
      <c r="C21" s="205">
        <v>0</v>
      </c>
      <c r="D21" s="204">
        <f>D22*0.2</f>
        <v>191039.75400000002</v>
      </c>
      <c r="E21" s="205">
        <v>0</v>
      </c>
      <c r="F21" s="204">
        <f>SUM(B21,D21)</f>
        <v>382247.97400000005</v>
      </c>
      <c r="G21" s="198" t="s">
        <v>26</v>
      </c>
    </row>
    <row r="22" spans="1:11" s="58" customFormat="1" ht="34.4" customHeight="1" x14ac:dyDescent="0.35">
      <c r="A22" s="7"/>
      <c r="B22" s="190">
        <f>SUM(B5:B19)</f>
        <v>1912082.2</v>
      </c>
      <c r="C22" s="191">
        <f>SUM(C5:C20)</f>
        <v>2893926</v>
      </c>
      <c r="D22" s="190">
        <f>SUM(D5:D20)</f>
        <v>955198.77</v>
      </c>
      <c r="E22" s="195">
        <f>SUM(E5:E19)</f>
        <v>1134131.52</v>
      </c>
      <c r="F22" s="197">
        <f>SUM(C22,E22)</f>
        <v>4028057.52</v>
      </c>
      <c r="G22" s="198" t="s">
        <v>27</v>
      </c>
    </row>
    <row r="23" spans="1:11" s="58" customFormat="1" ht="30" customHeight="1" x14ac:dyDescent="0.35">
      <c r="A23" s="192"/>
      <c r="B23" s="193" t="s">
        <v>28</v>
      </c>
      <c r="C23" s="194" t="s">
        <v>29</v>
      </c>
      <c r="D23" s="193" t="s">
        <v>28</v>
      </c>
      <c r="E23" s="196" t="s">
        <v>29</v>
      </c>
      <c r="F23" s="199">
        <f>SUM(B22,D22)</f>
        <v>2867280.9699999997</v>
      </c>
      <c r="G23" s="198" t="s">
        <v>30</v>
      </c>
      <c r="K23" s="392"/>
    </row>
    <row r="24" spans="1:11" s="58" customFormat="1" ht="19.25" customHeight="1" thickBot="1" x14ac:dyDescent="0.4">
      <c r="A24" s="33" t="s">
        <v>31</v>
      </c>
      <c r="B24" s="579" t="s">
        <v>32</v>
      </c>
      <c r="C24" s="580"/>
      <c r="D24" s="581" t="s">
        <v>33</v>
      </c>
      <c r="E24" s="582"/>
      <c r="F24" s="405">
        <f>F23+F21</f>
        <v>3249528.9439999997</v>
      </c>
      <c r="G24" s="200" t="s">
        <v>34</v>
      </c>
    </row>
    <row r="25" spans="1:11" ht="44" x14ac:dyDescent="0.35">
      <c r="A25" s="51" t="s">
        <v>35</v>
      </c>
      <c r="D25" s="189"/>
      <c r="E25" s="189"/>
      <c r="F25" s="189"/>
    </row>
    <row r="26" spans="1:11" ht="161" thickBot="1" x14ac:dyDescent="0.55000000000000004">
      <c r="A26" s="48" t="s">
        <v>36</v>
      </c>
      <c r="B26" s="8" t="s">
        <v>37</v>
      </c>
      <c r="C26" s="8" t="s">
        <v>38</v>
      </c>
      <c r="D26" s="8" t="s">
        <v>39</v>
      </c>
      <c r="E26" s="201" t="s">
        <v>40</v>
      </c>
    </row>
    <row r="27" spans="1:11" ht="18" thickTop="1" thickBot="1" x14ac:dyDescent="0.4">
      <c r="A27" s="48"/>
      <c r="B27" s="237">
        <f>SUM(B28:B59)</f>
        <v>3907191</v>
      </c>
      <c r="C27" s="236" t="s">
        <v>41</v>
      </c>
      <c r="D27" s="236"/>
      <c r="E27" s="569">
        <f>F22-B27</f>
        <v>120866.52000000002</v>
      </c>
    </row>
    <row r="28" spans="1:11" ht="14.75" customHeight="1" thickTop="1" x14ac:dyDescent="0.35">
      <c r="A28" s="202" t="s">
        <v>42</v>
      </c>
      <c r="B28" s="2">
        <v>20000</v>
      </c>
      <c r="C28" s="407" t="s">
        <v>41</v>
      </c>
      <c r="D28" s="238" t="s">
        <v>43</v>
      </c>
    </row>
    <row r="29" spans="1:11" ht="15" thickBot="1" x14ac:dyDescent="0.4">
      <c r="A29" s="202" t="s">
        <v>44</v>
      </c>
      <c r="B29" s="2">
        <v>60000</v>
      </c>
      <c r="C29" s="2">
        <v>50000</v>
      </c>
      <c r="D29" s="238" t="s">
        <v>45</v>
      </c>
    </row>
    <row r="30" spans="1:11" ht="18" thickTop="1" thickBot="1" x14ac:dyDescent="0.4">
      <c r="A30">
        <v>3</v>
      </c>
      <c r="B30" s="425">
        <v>210000</v>
      </c>
      <c r="C30" s="238">
        <v>45020</v>
      </c>
      <c r="D30" s="36" t="s">
        <v>41</v>
      </c>
    </row>
    <row r="31" spans="1:11" ht="18" thickTop="1" thickBot="1" x14ac:dyDescent="0.4">
      <c r="A31">
        <v>4</v>
      </c>
      <c r="B31" s="427">
        <v>159591</v>
      </c>
      <c r="C31" s="238"/>
      <c r="D31" s="36" t="s">
        <v>41</v>
      </c>
    </row>
    <row r="32" spans="1:11" ht="18" thickTop="1" thickBot="1" x14ac:dyDescent="0.4">
      <c r="A32">
        <v>5</v>
      </c>
      <c r="B32" s="429">
        <v>469600</v>
      </c>
      <c r="C32" s="238"/>
      <c r="D32" s="36" t="s">
        <v>41</v>
      </c>
    </row>
    <row r="33" spans="1:5" ht="18" thickTop="1" thickBot="1" x14ac:dyDescent="0.4">
      <c r="A33">
        <v>6</v>
      </c>
      <c r="B33" s="442">
        <v>270000</v>
      </c>
      <c r="C33" s="238">
        <v>45063</v>
      </c>
      <c r="D33" s="36" t="s">
        <v>41</v>
      </c>
    </row>
    <row r="34" spans="1:5" ht="15.5" thickTop="1" thickBot="1" x14ac:dyDescent="0.4">
      <c r="A34">
        <v>7</v>
      </c>
      <c r="B34" s="2">
        <v>60000</v>
      </c>
      <c r="C34" s="238">
        <v>45066</v>
      </c>
      <c r="D34" s="238" t="s">
        <v>41</v>
      </c>
    </row>
    <row r="35" spans="1:5" ht="18" thickTop="1" thickBot="1" x14ac:dyDescent="0.4">
      <c r="A35">
        <v>8</v>
      </c>
      <c r="B35" s="452">
        <v>331000</v>
      </c>
      <c r="C35" s="238">
        <v>45068</v>
      </c>
      <c r="D35" s="238" t="s">
        <v>41</v>
      </c>
    </row>
    <row r="36" spans="1:5" ht="15.5" thickTop="1" thickBot="1" x14ac:dyDescent="0.4">
      <c r="A36">
        <v>9</v>
      </c>
      <c r="B36" s="2">
        <v>30000</v>
      </c>
      <c r="C36" s="238">
        <v>45072</v>
      </c>
      <c r="D36" s="238" t="s">
        <v>41</v>
      </c>
      <c r="E36" s="408"/>
    </row>
    <row r="37" spans="1:5" ht="18" thickTop="1" thickBot="1" x14ac:dyDescent="0.4">
      <c r="A37">
        <v>10</v>
      </c>
      <c r="B37" s="467">
        <v>240000</v>
      </c>
      <c r="C37" s="238">
        <v>45078</v>
      </c>
      <c r="D37" s="36"/>
    </row>
    <row r="38" spans="1:5" ht="15" thickTop="1" x14ac:dyDescent="0.35">
      <c r="A38">
        <v>11</v>
      </c>
      <c r="B38" s="2">
        <v>30000</v>
      </c>
      <c r="C38" s="238">
        <v>45082</v>
      </c>
      <c r="D38" s="36"/>
    </row>
    <row r="39" spans="1:5" ht="15" thickBot="1" x14ac:dyDescent="0.4">
      <c r="A39">
        <v>12</v>
      </c>
      <c r="B39" s="2">
        <v>50000</v>
      </c>
      <c r="C39" s="238">
        <v>45085</v>
      </c>
      <c r="D39" s="36"/>
    </row>
    <row r="40" spans="1:5" ht="18" thickTop="1" thickBot="1" x14ac:dyDescent="0.4">
      <c r="A40">
        <v>13</v>
      </c>
      <c r="B40" s="476">
        <v>145000</v>
      </c>
      <c r="C40" s="238">
        <v>45088</v>
      </c>
      <c r="D40" s="36"/>
    </row>
    <row r="41" spans="1:5" ht="15.5" thickTop="1" thickBot="1" x14ac:dyDescent="0.4">
      <c r="A41">
        <v>14</v>
      </c>
      <c r="B41" s="2">
        <v>100000</v>
      </c>
      <c r="C41" s="238">
        <v>45092</v>
      </c>
      <c r="D41" s="36"/>
    </row>
    <row r="42" spans="1:5" ht="18" thickTop="1" thickBot="1" x14ac:dyDescent="0.4">
      <c r="A42">
        <v>15</v>
      </c>
      <c r="B42" s="484">
        <v>205000</v>
      </c>
      <c r="C42" s="238">
        <v>45096</v>
      </c>
      <c r="D42" s="36"/>
    </row>
    <row r="43" spans="1:5" ht="15" thickTop="1" x14ac:dyDescent="0.35">
      <c r="A43">
        <v>16</v>
      </c>
      <c r="B43" s="2">
        <v>30000</v>
      </c>
      <c r="C43" s="238">
        <v>45097</v>
      </c>
      <c r="D43" s="36"/>
    </row>
    <row r="44" spans="1:5" ht="15" thickBot="1" x14ac:dyDescent="0.4">
      <c r="B44" s="2">
        <v>100000</v>
      </c>
      <c r="C44" s="238">
        <v>45103</v>
      </c>
      <c r="D44" s="36"/>
    </row>
    <row r="45" spans="1:5" ht="18" thickTop="1" thickBot="1" x14ac:dyDescent="0.4">
      <c r="B45" s="490">
        <v>305000</v>
      </c>
      <c r="C45" s="238">
        <v>45107</v>
      </c>
      <c r="D45" s="36"/>
    </row>
    <row r="46" spans="1:5" ht="18" thickTop="1" thickBot="1" x14ac:dyDescent="0.4">
      <c r="B46" s="499">
        <v>251000</v>
      </c>
      <c r="C46" s="238">
        <v>45111</v>
      </c>
      <c r="D46" s="36"/>
    </row>
    <row r="47" spans="1:5" ht="18" thickTop="1" thickBot="1" x14ac:dyDescent="0.4">
      <c r="B47" s="509">
        <v>225000</v>
      </c>
      <c r="C47" s="238">
        <v>45118</v>
      </c>
    </row>
    <row r="48" spans="1:5" ht="18" thickTop="1" thickBot="1" x14ac:dyDescent="0.4">
      <c r="A48" s="509">
        <v>30000</v>
      </c>
      <c r="C48" s="238">
        <v>45127</v>
      </c>
    </row>
    <row r="49" spans="2:3" ht="15.5" thickTop="1" thickBot="1" x14ac:dyDescent="0.4">
      <c r="B49" s="528">
        <v>195000</v>
      </c>
      <c r="C49" s="238">
        <v>45134</v>
      </c>
    </row>
    <row r="50" spans="2:3" ht="18" thickTop="1" thickBot="1" x14ac:dyDescent="0.4">
      <c r="B50" s="529">
        <v>120000</v>
      </c>
      <c r="C50" s="238">
        <v>45165</v>
      </c>
    </row>
    <row r="51" spans="2:3" ht="18" thickTop="1" thickBot="1" x14ac:dyDescent="0.4">
      <c r="B51" s="540">
        <v>121000</v>
      </c>
      <c r="C51" s="238">
        <v>45170</v>
      </c>
    </row>
    <row r="52" spans="2:3" ht="18" thickTop="1" thickBot="1" x14ac:dyDescent="0.4">
      <c r="B52" s="568">
        <v>100000</v>
      </c>
      <c r="C52" s="238"/>
    </row>
    <row r="53" spans="2:3" ht="18" thickTop="1" thickBot="1" x14ac:dyDescent="0.4">
      <c r="B53" s="569">
        <v>30000</v>
      </c>
      <c r="C53" s="238"/>
    </row>
    <row r="54" spans="2:3" ht="18" thickTop="1" thickBot="1" x14ac:dyDescent="0.4">
      <c r="B54" s="569">
        <v>50000</v>
      </c>
    </row>
    <row r="55" spans="2:3" ht="15" thickTop="1" x14ac:dyDescent="0.35"/>
  </sheetData>
  <mergeCells count="5">
    <mergeCell ref="B3:D3"/>
    <mergeCell ref="B24:C24"/>
    <mergeCell ref="D24:E24"/>
    <mergeCell ref="D1:E1"/>
    <mergeCell ref="D2:E2"/>
  </mergeCells>
  <hyperlinks>
    <hyperlink ref="A25" r:id="rId1" xr:uid="{00000000-0004-0000-0000-000000000000}"/>
    <hyperlink ref="G20" r:id="rId2" xr:uid="{00000000-0004-0000-0000-000001000000}"/>
  </hyperlinks>
  <pageMargins left="0.19685039370078741" right="0.19685039370078741" top="0.74803149606299213" bottom="0.27559055118110237" header="0.31496062992125984" footer="0.19685039370078741"/>
  <pageSetup paperSize="9" scale="73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1"/>
  <sheetViews>
    <sheetView topLeftCell="A183" zoomScale="92" zoomScaleNormal="100" workbookViewId="0">
      <selection activeCell="E6" sqref="E6"/>
    </sheetView>
  </sheetViews>
  <sheetFormatPr defaultColWidth="9.08984375" defaultRowHeight="22" outlineLevelRow="1" x14ac:dyDescent="0.35"/>
  <cols>
    <col min="1" max="1" width="35" style="69" customWidth="1"/>
    <col min="2" max="2" width="19.08984375" style="37" customWidth="1"/>
    <col min="3" max="3" width="21.453125" style="78" bestFit="1" customWidth="1"/>
    <col min="4" max="4" width="4.26953125" style="37" customWidth="1"/>
    <col min="5" max="5" width="11.7265625" style="37" bestFit="1" customWidth="1"/>
    <col min="6" max="6" width="20.453125" style="37" customWidth="1"/>
    <col min="7" max="7" width="22.26953125" style="78" bestFit="1" customWidth="1"/>
    <col min="8" max="8" width="13.08984375" style="140" customWidth="1"/>
    <col min="9" max="9" width="2.26953125" style="217" customWidth="1"/>
    <col min="10" max="10" width="11.453125" style="262" bestFit="1" customWidth="1"/>
    <col min="11" max="11" width="18" style="37" customWidth="1"/>
    <col min="12" max="12" width="12.81640625" style="37" customWidth="1"/>
    <col min="13" max="13" width="16.81640625" style="37" customWidth="1"/>
    <col min="14" max="14" width="13.08984375" style="37" customWidth="1"/>
    <col min="15" max="15" width="24.26953125" style="37" customWidth="1"/>
    <col min="16" max="16" width="31.26953125" style="37" customWidth="1"/>
    <col min="17" max="18" width="9.08984375" style="37" customWidth="1"/>
    <col min="19" max="16384" width="9.08984375" style="37"/>
  </cols>
  <sheetData>
    <row r="1" spans="1:18" s="128" customFormat="1" ht="35.25" customHeight="1" x14ac:dyDescent="0.35">
      <c r="A1" s="125" t="s">
        <v>46</v>
      </c>
      <c r="B1" s="164" t="s">
        <v>386</v>
      </c>
      <c r="C1" s="127"/>
      <c r="D1" s="126"/>
      <c r="E1" s="126"/>
      <c r="F1" s="126"/>
      <c r="G1" s="127"/>
      <c r="H1" s="400"/>
      <c r="I1" s="217"/>
      <c r="J1" s="260"/>
      <c r="K1" s="402"/>
      <c r="L1" s="402"/>
      <c r="M1" s="402"/>
      <c r="N1" s="402"/>
      <c r="O1" s="402"/>
      <c r="P1" s="402"/>
      <c r="Q1" s="402"/>
      <c r="R1" s="402"/>
    </row>
    <row r="2" spans="1:18" s="128" customFormat="1" x14ac:dyDescent="0.35">
      <c r="A2" s="164" t="s">
        <v>384</v>
      </c>
      <c r="B2" s="164"/>
      <c r="C2" s="127"/>
      <c r="D2" s="129" t="s">
        <v>47</v>
      </c>
      <c r="E2" s="402"/>
      <c r="F2" s="402"/>
      <c r="G2" s="127"/>
      <c r="H2" s="401"/>
      <c r="I2" s="217"/>
      <c r="J2" s="260"/>
      <c r="K2" s="402"/>
      <c r="L2" s="402"/>
      <c r="M2" s="402"/>
      <c r="N2" s="402"/>
      <c r="O2" s="402"/>
      <c r="P2" s="402"/>
      <c r="Q2" s="402"/>
      <c r="R2" s="402"/>
    </row>
    <row r="3" spans="1:18" s="128" customFormat="1" ht="18.649999999999999" customHeight="1" x14ac:dyDescent="0.35">
      <c r="A3" s="165" t="s">
        <v>385</v>
      </c>
      <c r="B3" s="165"/>
      <c r="C3" s="127"/>
      <c r="D3" s="129" t="s">
        <v>48</v>
      </c>
      <c r="E3" s="402"/>
      <c r="F3" s="402"/>
      <c r="G3" s="127"/>
      <c r="H3" s="401"/>
      <c r="I3" s="217"/>
      <c r="J3" s="260"/>
      <c r="K3" s="402"/>
      <c r="L3" s="402"/>
      <c r="M3" s="402"/>
      <c r="N3" s="402"/>
      <c r="O3" s="402"/>
      <c r="P3" s="402"/>
      <c r="Q3" s="402"/>
      <c r="R3" s="402"/>
    </row>
    <row r="4" spans="1:18" s="128" customFormat="1" x14ac:dyDescent="0.35">
      <c r="A4" s="585" t="s">
        <v>49</v>
      </c>
      <c r="B4" s="585"/>
      <c r="C4" s="585"/>
      <c r="D4" s="129" t="s">
        <v>50</v>
      </c>
      <c r="E4" s="402"/>
      <c r="F4" s="402"/>
      <c r="G4" s="127"/>
      <c r="H4" s="401"/>
      <c r="I4" s="217"/>
      <c r="J4" s="260"/>
      <c r="K4" s="402"/>
      <c r="L4" s="402"/>
      <c r="M4" s="402"/>
      <c r="N4" s="402"/>
      <c r="O4" s="402"/>
      <c r="P4" s="402"/>
      <c r="Q4" s="402"/>
      <c r="R4" s="402"/>
    </row>
    <row r="5" spans="1:18" s="128" customFormat="1" ht="29" x14ac:dyDescent="0.35">
      <c r="A5" s="221" t="s">
        <v>51</v>
      </c>
      <c r="B5" s="130"/>
      <c r="C5" s="127"/>
      <c r="D5" s="402"/>
      <c r="E5" s="402"/>
      <c r="F5" s="402"/>
      <c r="G5" s="127"/>
      <c r="H5" s="588" t="s">
        <v>52</v>
      </c>
      <c r="I5" s="217"/>
      <c r="J5" s="260"/>
      <c r="K5" s="402"/>
      <c r="L5" s="402"/>
      <c r="M5" s="402"/>
      <c r="N5" s="402"/>
      <c r="O5" s="402"/>
      <c r="P5" s="402"/>
      <c r="Q5" s="402"/>
      <c r="R5" s="402"/>
    </row>
    <row r="6" spans="1:18" s="128" customFormat="1" x14ac:dyDescent="0.35">
      <c r="A6" s="222" t="s">
        <v>53</v>
      </c>
      <c r="B6" s="131"/>
      <c r="C6" s="127"/>
      <c r="D6" s="402"/>
      <c r="E6" s="402"/>
      <c r="F6" s="402"/>
      <c r="G6" s="127"/>
      <c r="H6" s="588"/>
      <c r="I6" s="217"/>
      <c r="J6" s="261"/>
      <c r="K6" s="402"/>
      <c r="L6" s="402"/>
      <c r="M6" s="402"/>
      <c r="N6" s="402"/>
      <c r="O6" s="402"/>
      <c r="P6" s="402"/>
      <c r="Q6" s="402"/>
      <c r="R6" s="402"/>
    </row>
    <row r="7" spans="1:18" s="132" customFormat="1" ht="96" customHeight="1" x14ac:dyDescent="0.95">
      <c r="A7" s="592" t="s">
        <v>54</v>
      </c>
      <c r="B7" s="592"/>
      <c r="C7" s="592"/>
      <c r="D7" s="592"/>
      <c r="E7" s="592"/>
      <c r="F7" s="409"/>
      <c r="G7" s="402"/>
      <c r="H7" s="588"/>
      <c r="I7" s="410"/>
      <c r="J7" s="586">
        <f>SUM(J10:J203)</f>
        <v>0</v>
      </c>
      <c r="K7" s="586"/>
      <c r="L7" s="586"/>
      <c r="M7" s="411"/>
      <c r="N7" s="412"/>
      <c r="O7" s="412"/>
      <c r="P7" s="412"/>
      <c r="Q7" s="412"/>
      <c r="R7" s="412"/>
    </row>
    <row r="8" spans="1:18" s="128" customFormat="1" ht="67.25" customHeight="1" thickBot="1" x14ac:dyDescent="0.7">
      <c r="A8" s="413" t="s">
        <v>8</v>
      </c>
      <c r="B8" s="133" t="s">
        <v>55</v>
      </c>
      <c r="C8" s="135" t="s">
        <v>56</v>
      </c>
      <c r="D8" s="133"/>
      <c r="E8" s="134" t="s">
        <v>57</v>
      </c>
      <c r="F8" s="136" t="s">
        <v>58</v>
      </c>
      <c r="G8" s="135" t="s">
        <v>59</v>
      </c>
      <c r="H8" s="403" t="s">
        <v>60</v>
      </c>
      <c r="I8" s="217"/>
      <c r="J8" s="587" t="s">
        <v>61</v>
      </c>
      <c r="K8" s="587"/>
      <c r="L8" s="587"/>
      <c r="M8" s="402"/>
      <c r="N8" s="402"/>
      <c r="O8" s="402"/>
      <c r="P8" s="402"/>
      <c r="Q8" s="402"/>
      <c r="R8" s="402"/>
    </row>
    <row r="9" spans="1:18" ht="22.5" thickBot="1" x14ac:dyDescent="0.4">
      <c r="A9" s="54">
        <f>SUM(F10:F17)</f>
        <v>158483</v>
      </c>
      <c r="B9" s="55" t="s">
        <v>62</v>
      </c>
      <c r="C9" s="144" t="s">
        <v>63</v>
      </c>
      <c r="D9" s="56"/>
      <c r="E9" s="57">
        <f>SUM(E10:E18)</f>
        <v>170483</v>
      </c>
      <c r="F9" s="177">
        <f>SUM(F10:F18)</f>
        <v>170483</v>
      </c>
      <c r="G9" s="265" t="s">
        <v>64</v>
      </c>
      <c r="H9" s="137">
        <f>SUM(H10:H19)</f>
        <v>192391</v>
      </c>
      <c r="K9" s="219" t="s">
        <v>65</v>
      </c>
      <c r="L9" s="220" t="s">
        <v>66</v>
      </c>
      <c r="M9" s="85" t="s">
        <v>67</v>
      </c>
      <c r="N9" s="85" t="s">
        <v>68</v>
      </c>
      <c r="O9" s="86" t="s">
        <v>69</v>
      </c>
      <c r="P9" s="87" t="s">
        <v>70</v>
      </c>
      <c r="Q9" s="81"/>
      <c r="R9" s="81"/>
    </row>
    <row r="10" spans="1:18" x14ac:dyDescent="0.35">
      <c r="A10" s="156" t="s">
        <v>71</v>
      </c>
      <c r="B10" s="157">
        <v>2200</v>
      </c>
      <c r="C10" s="97">
        <v>10.23</v>
      </c>
      <c r="D10" s="44">
        <v>1</v>
      </c>
      <c r="E10" s="43">
        <f>C10*B10*D10</f>
        <v>22506</v>
      </c>
      <c r="F10" s="59">
        <f t="shared" ref="F10:F15" si="0">E10</f>
        <v>22506</v>
      </c>
      <c r="G10" s="123">
        <f>C10</f>
        <v>10.23</v>
      </c>
      <c r="H10" s="424">
        <f t="shared" ref="H10:H18" si="1">(G10*B10*D10)</f>
        <v>22506</v>
      </c>
      <c r="K10" s="160">
        <f>G10</f>
        <v>10.23</v>
      </c>
      <c r="L10" s="89">
        <v>2</v>
      </c>
      <c r="M10" s="90">
        <f>K10*L10*10</f>
        <v>204.60000000000002</v>
      </c>
      <c r="N10" s="91">
        <f>M10*1.6</f>
        <v>327.36000000000007</v>
      </c>
      <c r="O10" s="92">
        <f>N10/25</f>
        <v>13.094400000000002</v>
      </c>
      <c r="P10" s="93">
        <v>2</v>
      </c>
      <c r="Q10" s="81"/>
      <c r="R10" s="81"/>
    </row>
    <row r="11" spans="1:18" x14ac:dyDescent="0.35">
      <c r="A11" s="158" t="s">
        <v>72</v>
      </c>
      <c r="B11" s="157">
        <v>3600</v>
      </c>
      <c r="C11" s="123"/>
      <c r="D11" s="44">
        <v>1</v>
      </c>
      <c r="E11" s="43">
        <f t="shared" ref="E11:E17" si="2">C11*B11</f>
        <v>0</v>
      </c>
      <c r="F11" s="59">
        <f t="shared" si="0"/>
        <v>0</v>
      </c>
      <c r="G11" s="123">
        <f>C11</f>
        <v>0</v>
      </c>
      <c r="H11" s="424">
        <f t="shared" si="1"/>
        <v>0</v>
      </c>
      <c r="K11" s="81"/>
      <c r="L11" s="81"/>
      <c r="M11" s="53" t="s">
        <v>73</v>
      </c>
      <c r="N11" s="53"/>
      <c r="O11" s="53"/>
      <c r="P11" s="93">
        <f>O10/27</f>
        <v>0.48497777777777784</v>
      </c>
      <c r="Q11" s="81"/>
      <c r="R11" s="81"/>
    </row>
    <row r="12" spans="1:18" ht="62" x14ac:dyDescent="0.35">
      <c r="A12" s="158" t="s">
        <v>74</v>
      </c>
      <c r="B12" s="157">
        <v>3000</v>
      </c>
      <c r="C12" s="94">
        <v>15</v>
      </c>
      <c r="D12" s="44">
        <v>1</v>
      </c>
      <c r="E12" s="43">
        <f t="shared" si="2"/>
        <v>45000</v>
      </c>
      <c r="F12" s="59">
        <f>E12</f>
        <v>45000</v>
      </c>
      <c r="G12" s="94">
        <f>C12</f>
        <v>15</v>
      </c>
      <c r="H12" s="424">
        <f t="shared" si="1"/>
        <v>45000</v>
      </c>
      <c r="K12" s="95" t="str">
        <f>A11</f>
        <v>fal bontása</v>
      </c>
      <c r="L12" s="84" t="s">
        <v>66</v>
      </c>
      <c r="M12" s="85" t="s">
        <v>67</v>
      </c>
      <c r="N12" s="85" t="s">
        <v>68</v>
      </c>
      <c r="O12" s="86" t="s">
        <v>69</v>
      </c>
      <c r="P12" s="87" t="s">
        <v>70</v>
      </c>
      <c r="Q12" s="96"/>
      <c r="R12" s="96"/>
    </row>
    <row r="13" spans="1:18" x14ac:dyDescent="0.35">
      <c r="A13" s="158" t="s">
        <v>75</v>
      </c>
      <c r="B13" s="157">
        <v>3000</v>
      </c>
      <c r="C13" s="152"/>
      <c r="D13" s="44">
        <v>1</v>
      </c>
      <c r="E13" s="43">
        <f t="shared" si="2"/>
        <v>0</v>
      </c>
      <c r="F13" s="59">
        <f t="shared" si="0"/>
        <v>0</v>
      </c>
      <c r="G13" s="152">
        <f>C13</f>
        <v>0</v>
      </c>
      <c r="H13" s="424">
        <f t="shared" si="1"/>
        <v>0</v>
      </c>
      <c r="K13" s="88">
        <f>C11</f>
        <v>0</v>
      </c>
      <c r="L13" s="89">
        <v>12</v>
      </c>
      <c r="M13" s="90">
        <f>K13*L13*10</f>
        <v>0</v>
      </c>
      <c r="N13" s="91">
        <f>M13*1.6</f>
        <v>0</v>
      </c>
      <c r="O13" s="92">
        <f>N13/25</f>
        <v>0</v>
      </c>
      <c r="P13" s="93">
        <f>(M13*2.3)/1000</f>
        <v>0</v>
      </c>
      <c r="Q13" s="98"/>
      <c r="R13" s="99"/>
    </row>
    <row r="14" spans="1:18" x14ac:dyDescent="0.35">
      <c r="A14" s="158" t="s">
        <v>76</v>
      </c>
      <c r="B14" s="157">
        <v>1200</v>
      </c>
      <c r="C14" s="162"/>
      <c r="D14" s="44">
        <v>1</v>
      </c>
      <c r="E14" s="43">
        <f t="shared" si="2"/>
        <v>0</v>
      </c>
      <c r="F14" s="59">
        <f t="shared" si="0"/>
        <v>0</v>
      </c>
      <c r="G14" s="162"/>
      <c r="H14" s="424">
        <f t="shared" si="1"/>
        <v>0</v>
      </c>
      <c r="K14" s="81"/>
      <c r="L14" s="81"/>
      <c r="M14" s="53" t="s">
        <v>73</v>
      </c>
      <c r="N14" s="53"/>
      <c r="O14" s="53"/>
      <c r="P14" s="93">
        <f>O13/27</f>
        <v>0</v>
      </c>
      <c r="Q14" s="53"/>
      <c r="R14" s="53"/>
    </row>
    <row r="15" spans="1:18" ht="29" customHeight="1" x14ac:dyDescent="0.35">
      <c r="A15" s="158" t="s">
        <v>77</v>
      </c>
      <c r="B15" s="157">
        <v>1400</v>
      </c>
      <c r="C15" s="152">
        <f>11.15+9</f>
        <v>20.149999999999999</v>
      </c>
      <c r="D15" s="39">
        <v>1</v>
      </c>
      <c r="E15" s="38">
        <f t="shared" si="2"/>
        <v>28209.999999999996</v>
      </c>
      <c r="F15" s="59">
        <f t="shared" si="0"/>
        <v>28209.999999999996</v>
      </c>
      <c r="G15" s="152">
        <f>C15</f>
        <v>20.149999999999999</v>
      </c>
      <c r="H15" s="424">
        <f t="shared" si="1"/>
        <v>28209.999999999996</v>
      </c>
      <c r="K15" s="95" t="str">
        <f>A15</f>
        <v xml:space="preserve"> csempe bontása mondjuk</v>
      </c>
      <c r="L15" s="84" t="s">
        <v>66</v>
      </c>
      <c r="M15" s="85" t="s">
        <v>67</v>
      </c>
      <c r="N15" s="85" t="s">
        <v>68</v>
      </c>
      <c r="O15" s="86" t="s">
        <v>69</v>
      </c>
      <c r="P15" s="87" t="s">
        <v>70</v>
      </c>
      <c r="Q15" s="81"/>
      <c r="R15" s="81"/>
    </row>
    <row r="16" spans="1:18" x14ac:dyDescent="0.35">
      <c r="A16" s="159" t="s">
        <v>78</v>
      </c>
      <c r="B16" s="157">
        <v>700</v>
      </c>
      <c r="C16" s="162">
        <v>25.25</v>
      </c>
      <c r="D16" s="39">
        <v>1</v>
      </c>
      <c r="E16" s="38">
        <f t="shared" si="2"/>
        <v>17675</v>
      </c>
      <c r="F16" s="59">
        <f>E16</f>
        <v>17675</v>
      </c>
      <c r="G16" s="162">
        <f>C16</f>
        <v>25.25</v>
      </c>
      <c r="H16" s="424">
        <f t="shared" si="1"/>
        <v>17675</v>
      </c>
      <c r="K16" s="160">
        <f>C15</f>
        <v>20.149999999999999</v>
      </c>
      <c r="L16" s="89">
        <v>1.5</v>
      </c>
      <c r="M16" s="90">
        <f>K16*L16*10</f>
        <v>302.25</v>
      </c>
      <c r="N16" s="91">
        <f>M16*1.6</f>
        <v>483.6</v>
      </c>
      <c r="O16" s="92">
        <f>N16/25</f>
        <v>19.344000000000001</v>
      </c>
      <c r="P16" s="93">
        <f>(M16*2.3)/1000</f>
        <v>0.69517499999999999</v>
      </c>
      <c r="Q16" s="81"/>
      <c r="R16" s="81"/>
    </row>
    <row r="17" spans="1:16" x14ac:dyDescent="0.35">
      <c r="A17" s="159" t="s">
        <v>79</v>
      </c>
      <c r="B17" s="157">
        <v>400</v>
      </c>
      <c r="C17" s="152">
        <f>SUM(B107:B109,B111)</f>
        <v>112.73000000000002</v>
      </c>
      <c r="D17" s="39">
        <v>1</v>
      </c>
      <c r="E17" s="38">
        <f t="shared" si="2"/>
        <v>45092.000000000007</v>
      </c>
      <c r="F17" s="59">
        <f>E17</f>
        <v>45092.000000000007</v>
      </c>
      <c r="G17" s="152">
        <v>105</v>
      </c>
      <c r="H17" s="424">
        <f t="shared" si="1"/>
        <v>42000</v>
      </c>
      <c r="K17" s="81"/>
      <c r="L17" s="81"/>
      <c r="M17" s="53" t="s">
        <v>73</v>
      </c>
      <c r="N17" s="53"/>
      <c r="O17" s="53"/>
      <c r="P17" s="93">
        <f>O16/27</f>
        <v>0.71644444444444444</v>
      </c>
    </row>
    <row r="18" spans="1:16" x14ac:dyDescent="0.35">
      <c r="A18" s="184" t="s">
        <v>80</v>
      </c>
      <c r="B18" s="157">
        <v>3000</v>
      </c>
      <c r="C18" s="94">
        <v>4</v>
      </c>
      <c r="D18" s="39">
        <v>1</v>
      </c>
      <c r="E18" s="38">
        <f t="shared" ref="E18" si="3">C18*B18</f>
        <v>12000</v>
      </c>
      <c r="F18" s="59">
        <f>E18</f>
        <v>12000</v>
      </c>
      <c r="G18" s="454">
        <f>C18</f>
        <v>4</v>
      </c>
      <c r="H18" s="455">
        <f t="shared" si="1"/>
        <v>12000</v>
      </c>
      <c r="K18" s="81"/>
      <c r="L18" s="81"/>
      <c r="M18" s="81"/>
      <c r="N18" s="81"/>
      <c r="O18" s="81"/>
      <c r="P18" s="81"/>
    </row>
    <row r="19" spans="1:16" ht="22.5" thickBot="1" x14ac:dyDescent="0.4">
      <c r="A19" s="230" t="s">
        <v>336</v>
      </c>
      <c r="B19" s="157">
        <v>25000</v>
      </c>
      <c r="C19" s="94"/>
      <c r="D19" s="39">
        <v>1</v>
      </c>
      <c r="E19" s="38">
        <f t="shared" ref="E19" si="4">C19*B19</f>
        <v>0</v>
      </c>
      <c r="F19" s="59">
        <f>E19</f>
        <v>0</v>
      </c>
      <c r="G19" s="459">
        <v>1</v>
      </c>
      <c r="H19" s="422">
        <f t="shared" ref="H19" si="5">(G19*B19*D19)</f>
        <v>25000</v>
      </c>
      <c r="K19" s="81"/>
      <c r="L19" s="81"/>
      <c r="M19" s="81"/>
      <c r="N19" s="81"/>
      <c r="O19" s="81"/>
      <c r="P19" s="81"/>
    </row>
    <row r="20" spans="1:16" ht="149.5" thickBot="1" x14ac:dyDescent="0.7">
      <c r="A20" s="163" t="s">
        <v>81</v>
      </c>
      <c r="B20" s="17" t="s">
        <v>55</v>
      </c>
      <c r="C20" s="135" t="s">
        <v>56</v>
      </c>
      <c r="D20" s="17"/>
      <c r="E20" s="9" t="s">
        <v>57</v>
      </c>
      <c r="F20" s="161" t="s">
        <v>58</v>
      </c>
      <c r="G20" s="83" t="s">
        <v>82</v>
      </c>
      <c r="H20" s="139"/>
      <c r="K20" s="81"/>
      <c r="L20" s="81"/>
      <c r="M20" s="81"/>
      <c r="N20" s="81"/>
      <c r="O20" s="100" t="s">
        <v>83</v>
      </c>
      <c r="P20" s="101">
        <f>SUM(P10,P14)+P31+P34+P17</f>
        <v>3.2971944444444445</v>
      </c>
    </row>
    <row r="21" spans="1:16" ht="22.5" thickBot="1" x14ac:dyDescent="0.4">
      <c r="A21" s="54">
        <f>SUM(E23:E27)</f>
        <v>0</v>
      </c>
      <c r="B21" s="56" t="s">
        <v>62</v>
      </c>
      <c r="C21" s="144" t="s">
        <v>63</v>
      </c>
      <c r="D21" s="56"/>
      <c r="E21" s="57">
        <f>SUM(E23:E27)</f>
        <v>0</v>
      </c>
      <c r="F21" s="177">
        <f>SUM(F23:F30)</f>
        <v>132000</v>
      </c>
      <c r="G21" s="265" t="s">
        <v>64</v>
      </c>
      <c r="H21" s="137">
        <f>SUM(H23)</f>
        <v>0</v>
      </c>
      <c r="K21" s="81"/>
      <c r="L21" s="81"/>
      <c r="M21" s="81"/>
      <c r="N21" s="81"/>
      <c r="O21" s="81" t="s">
        <v>84</v>
      </c>
      <c r="P21" s="414">
        <f>P20*27</f>
        <v>89.024250000000009</v>
      </c>
    </row>
    <row r="22" spans="1:16" ht="31" x14ac:dyDescent="0.35">
      <c r="A22" s="229" t="s">
        <v>338</v>
      </c>
      <c r="B22" s="159">
        <v>15000</v>
      </c>
      <c r="C22" s="102">
        <v>2</v>
      </c>
      <c r="D22" s="39">
        <v>1</v>
      </c>
      <c r="E22" s="38">
        <f t="shared" ref="E22" si="6">B22*C22</f>
        <v>30000</v>
      </c>
      <c r="F22" s="59">
        <f t="shared" ref="F22:F27" si="7">E22</f>
        <v>30000</v>
      </c>
      <c r="G22" s="533">
        <f t="shared" ref="G22:G27" si="8">C22</f>
        <v>2</v>
      </c>
      <c r="H22" s="531">
        <f>(G22*B22*D22)</f>
        <v>30000</v>
      </c>
      <c r="K22" s="81"/>
      <c r="L22" s="81"/>
      <c r="M22" s="81"/>
      <c r="N22" s="81"/>
      <c r="O22" s="81"/>
      <c r="P22" s="81"/>
    </row>
    <row r="23" spans="1:16" ht="31" hidden="1" outlineLevel="1" x14ac:dyDescent="0.35">
      <c r="A23" s="40" t="s">
        <v>85</v>
      </c>
      <c r="B23" s="157">
        <v>13000</v>
      </c>
      <c r="C23" s="94"/>
      <c r="D23" s="39">
        <v>1</v>
      </c>
      <c r="E23" s="43">
        <f>C23*B23</f>
        <v>0</v>
      </c>
      <c r="F23" s="59">
        <f t="shared" si="7"/>
        <v>0</v>
      </c>
      <c r="G23" s="94">
        <f t="shared" si="8"/>
        <v>0</v>
      </c>
      <c r="J23" s="263">
        <f t="shared" ref="J23:J27" si="9">(G23*B23*D23)</f>
        <v>0</v>
      </c>
      <c r="K23" s="81"/>
      <c r="L23" s="81"/>
      <c r="M23" s="81"/>
      <c r="N23" s="81"/>
      <c r="O23" s="81"/>
      <c r="P23" s="81"/>
    </row>
    <row r="24" spans="1:16" ht="36" hidden="1" customHeight="1" outlineLevel="1" x14ac:dyDescent="0.35">
      <c r="A24" s="40" t="s">
        <v>86</v>
      </c>
      <c r="B24" s="157">
        <v>32500</v>
      </c>
      <c r="C24" s="94"/>
      <c r="D24" s="39">
        <v>1</v>
      </c>
      <c r="E24" s="38">
        <f>B24*C24</f>
        <v>0</v>
      </c>
      <c r="F24" s="59">
        <f t="shared" si="7"/>
        <v>0</v>
      </c>
      <c r="G24" s="94">
        <f t="shared" si="8"/>
        <v>0</v>
      </c>
      <c r="H24" s="138"/>
      <c r="J24" s="263">
        <f t="shared" si="9"/>
        <v>0</v>
      </c>
      <c r="K24" s="81"/>
      <c r="L24" s="81"/>
      <c r="M24" s="81"/>
      <c r="N24" s="81"/>
      <c r="O24" s="81"/>
      <c r="P24" s="81"/>
    </row>
    <row r="25" spans="1:16" hidden="1" outlineLevel="1" x14ac:dyDescent="0.35">
      <c r="A25" s="42" t="s">
        <v>87</v>
      </c>
      <c r="B25" s="157">
        <v>9100</v>
      </c>
      <c r="C25" s="94"/>
      <c r="D25" s="39">
        <v>1</v>
      </c>
      <c r="E25" s="38">
        <f>B25*C25</f>
        <v>0</v>
      </c>
      <c r="F25" s="59">
        <f t="shared" si="7"/>
        <v>0</v>
      </c>
      <c r="G25" s="94">
        <f t="shared" si="8"/>
        <v>0</v>
      </c>
      <c r="H25" s="138"/>
      <c r="J25" s="263">
        <f t="shared" si="9"/>
        <v>0</v>
      </c>
      <c r="K25" s="81"/>
      <c r="L25" s="81"/>
      <c r="M25" s="81"/>
      <c r="N25" s="81"/>
      <c r="O25" s="81"/>
      <c r="P25" s="81"/>
    </row>
    <row r="26" spans="1:16" hidden="1" outlineLevel="1" x14ac:dyDescent="0.35">
      <c r="A26" s="42" t="s">
        <v>88</v>
      </c>
      <c r="B26" s="157">
        <v>39000</v>
      </c>
      <c r="C26" s="94"/>
      <c r="D26" s="39">
        <v>1</v>
      </c>
      <c r="E26" s="38">
        <f>B26*C26</f>
        <v>0</v>
      </c>
      <c r="F26" s="59">
        <f t="shared" si="7"/>
        <v>0</v>
      </c>
      <c r="G26" s="94">
        <f t="shared" si="8"/>
        <v>0</v>
      </c>
      <c r="H26" s="138"/>
      <c r="J26" s="263">
        <f t="shared" si="9"/>
        <v>0</v>
      </c>
      <c r="K26" s="81"/>
      <c r="L26" s="81"/>
      <c r="M26" s="81"/>
      <c r="N26" s="81"/>
      <c r="O26" s="81"/>
      <c r="P26" s="81"/>
    </row>
    <row r="27" spans="1:16" ht="31" hidden="1" outlineLevel="1" x14ac:dyDescent="0.35">
      <c r="A27" s="42" t="s">
        <v>89</v>
      </c>
      <c r="B27" s="157">
        <v>15600</v>
      </c>
      <c r="C27" s="124"/>
      <c r="D27" s="39">
        <v>1</v>
      </c>
      <c r="E27" s="38">
        <f>B27*C27</f>
        <v>0</v>
      </c>
      <c r="F27" s="59">
        <f t="shared" si="7"/>
        <v>0</v>
      </c>
      <c r="G27" s="124">
        <f t="shared" si="8"/>
        <v>0</v>
      </c>
      <c r="H27" s="138"/>
      <c r="J27" s="263">
        <f t="shared" si="9"/>
        <v>0</v>
      </c>
      <c r="K27" s="81"/>
      <c r="L27" s="81"/>
      <c r="M27" s="81"/>
      <c r="N27" s="81"/>
      <c r="O27" s="81"/>
      <c r="P27" s="81"/>
    </row>
    <row r="28" spans="1:16" ht="121.5" collapsed="1" thickBot="1" x14ac:dyDescent="0.7">
      <c r="A28" s="163" t="s">
        <v>90</v>
      </c>
      <c r="B28" s="17" t="s">
        <v>55</v>
      </c>
      <c r="C28" s="145" t="s">
        <v>91</v>
      </c>
      <c r="D28" s="17"/>
      <c r="E28" s="9" t="s">
        <v>57</v>
      </c>
      <c r="F28" s="136" t="s">
        <v>58</v>
      </c>
      <c r="G28" s="83" t="s">
        <v>82</v>
      </c>
      <c r="H28" s="139"/>
      <c r="K28" s="81"/>
      <c r="L28" s="81"/>
      <c r="M28" s="81"/>
      <c r="N28" s="81"/>
      <c r="O28" s="81" t="s">
        <v>92</v>
      </c>
      <c r="P28" s="223">
        <v>2</v>
      </c>
    </row>
    <row r="29" spans="1:16" ht="22.5" thickBot="1" x14ac:dyDescent="0.4">
      <c r="A29" s="54">
        <f>+F29</f>
        <v>132000</v>
      </c>
      <c r="B29" s="56" t="s">
        <v>62</v>
      </c>
      <c r="C29" s="144" t="s">
        <v>63</v>
      </c>
      <c r="D29" s="56"/>
      <c r="E29" s="57">
        <f>SUM(E30:E39)</f>
        <v>132000</v>
      </c>
      <c r="F29" s="177">
        <f>SUM(F30:F36)</f>
        <v>132000</v>
      </c>
      <c r="G29" s="265" t="s">
        <v>64</v>
      </c>
      <c r="H29" s="137">
        <f>SUM(H30:H34)</f>
        <v>189000</v>
      </c>
      <c r="K29" s="81"/>
      <c r="L29" s="81"/>
      <c r="M29" s="81"/>
      <c r="N29" s="81"/>
      <c r="O29" s="103" t="s">
        <v>93</v>
      </c>
      <c r="P29" s="103">
        <f>SUM(P20,P28)</f>
        <v>5.297194444444445</v>
      </c>
    </row>
    <row r="30" spans="1:16" ht="31.5" thickBot="1" x14ac:dyDescent="0.4">
      <c r="A30" s="40" t="s">
        <v>94</v>
      </c>
      <c r="B30" s="157">
        <v>20000</v>
      </c>
      <c r="C30" s="102"/>
      <c r="D30" s="39">
        <v>1</v>
      </c>
      <c r="E30" s="38">
        <f t="shared" ref="E30:E40" si="10">B30*C30</f>
        <v>0</v>
      </c>
      <c r="F30" s="59">
        <f>E30</f>
        <v>0</v>
      </c>
      <c r="G30" s="482">
        <v>1</v>
      </c>
      <c r="H30" s="483">
        <f>(G30*B30*D30)</f>
        <v>20000</v>
      </c>
      <c r="J30" s="263"/>
      <c r="K30" s="254" t="s">
        <v>95</v>
      </c>
      <c r="L30" s="104" t="s">
        <v>66</v>
      </c>
      <c r="M30" s="105" t="s">
        <v>67</v>
      </c>
      <c r="N30" s="105" t="s">
        <v>68</v>
      </c>
      <c r="O30" s="106" t="s">
        <v>69</v>
      </c>
      <c r="P30" s="107" t="s">
        <v>70</v>
      </c>
    </row>
    <row r="31" spans="1:16" ht="62.5" thickBot="1" x14ac:dyDescent="0.4">
      <c r="A31" s="40" t="s">
        <v>358</v>
      </c>
      <c r="B31" s="157">
        <v>13000</v>
      </c>
      <c r="C31" s="102">
        <v>9</v>
      </c>
      <c r="D31" s="39">
        <v>1</v>
      </c>
      <c r="E31" s="38">
        <f t="shared" si="10"/>
        <v>117000</v>
      </c>
      <c r="F31" s="59">
        <f>E31</f>
        <v>117000</v>
      </c>
      <c r="G31" s="482">
        <v>13</v>
      </c>
      <c r="H31" s="483">
        <f>(G31*B31*D31)</f>
        <v>169000</v>
      </c>
      <c r="K31" s="251">
        <f>C16</f>
        <v>25.25</v>
      </c>
      <c r="L31" s="252">
        <v>1</v>
      </c>
      <c r="M31" s="108">
        <f>K31*L31*10</f>
        <v>252.5</v>
      </c>
      <c r="N31" s="109">
        <f>M31*1.6</f>
        <v>404</v>
      </c>
      <c r="O31" s="110">
        <f>N31/25</f>
        <v>16.16</v>
      </c>
      <c r="P31" s="253">
        <f>(M31*2.3)/1000</f>
        <v>0.58074999999999999</v>
      </c>
    </row>
    <row r="32" spans="1:16" x14ac:dyDescent="0.35">
      <c r="A32" s="40" t="s">
        <v>96</v>
      </c>
      <c r="B32" s="157">
        <v>15000</v>
      </c>
      <c r="C32" s="102">
        <v>1</v>
      </c>
      <c r="D32" s="39">
        <v>1</v>
      </c>
      <c r="E32" s="38">
        <f t="shared" si="10"/>
        <v>15000</v>
      </c>
      <c r="F32" s="59">
        <f>E32</f>
        <v>15000</v>
      </c>
      <c r="G32" s="102"/>
      <c r="J32" s="263"/>
      <c r="K32" s="81"/>
      <c r="L32" s="81"/>
      <c r="M32" s="81"/>
      <c r="N32" s="81"/>
      <c r="O32" s="81"/>
      <c r="P32" s="81"/>
    </row>
    <row r="33" spans="1:16" hidden="1" outlineLevel="1" x14ac:dyDescent="0.35">
      <c r="A33" s="40" t="s">
        <v>97</v>
      </c>
      <c r="B33" s="157">
        <v>15000</v>
      </c>
      <c r="C33" s="102"/>
      <c r="D33" s="39">
        <v>1</v>
      </c>
      <c r="E33" s="38">
        <f t="shared" si="10"/>
        <v>0</v>
      </c>
      <c r="F33" s="59">
        <f>E33</f>
        <v>0</v>
      </c>
      <c r="G33" s="102">
        <f>C33</f>
        <v>0</v>
      </c>
      <c r="J33" s="263">
        <f>(G33*B33*D33)</f>
        <v>0</v>
      </c>
      <c r="K33" s="81"/>
      <c r="L33" s="81"/>
      <c r="M33" s="81"/>
      <c r="N33" s="81"/>
      <c r="O33" s="81"/>
      <c r="P33" s="81"/>
    </row>
    <row r="34" spans="1:16" hidden="1" outlineLevel="1" x14ac:dyDescent="0.35">
      <c r="A34" s="40" t="s">
        <v>98</v>
      </c>
      <c r="B34" s="157">
        <v>10000</v>
      </c>
      <c r="C34" s="102"/>
      <c r="D34" s="39">
        <v>1</v>
      </c>
      <c r="E34" s="38">
        <f t="shared" si="10"/>
        <v>0</v>
      </c>
      <c r="F34" s="59">
        <f>E34</f>
        <v>0</v>
      </c>
      <c r="G34" s="102">
        <f t="shared" ref="G34:G40" si="11">C34</f>
        <v>0</v>
      </c>
      <c r="J34" s="263">
        <f>(G34*B34*D34)</f>
        <v>0</v>
      </c>
    </row>
    <row r="35" spans="1:16" hidden="1" outlineLevel="1" x14ac:dyDescent="0.35">
      <c r="A35" s="40"/>
      <c r="B35" s="157">
        <v>0</v>
      </c>
      <c r="C35" s="102"/>
      <c r="D35" s="39">
        <v>1</v>
      </c>
      <c r="E35" s="38">
        <f t="shared" si="10"/>
        <v>0</v>
      </c>
      <c r="F35" s="59">
        <f t="shared" ref="F35:F40" si="12">E35*0.85</f>
        <v>0</v>
      </c>
      <c r="G35" s="102">
        <f t="shared" si="11"/>
        <v>0</v>
      </c>
      <c r="H35" s="81"/>
      <c r="J35" s="263">
        <f t="shared" ref="J35:J40" si="13">(G35*B35*D35)*0.85</f>
        <v>0</v>
      </c>
    </row>
    <row r="36" spans="1:16" hidden="1" outlineLevel="1" x14ac:dyDescent="0.35">
      <c r="A36" s="61"/>
      <c r="B36" s="157">
        <v>0</v>
      </c>
      <c r="C36" s="102"/>
      <c r="D36" s="39">
        <v>4</v>
      </c>
      <c r="E36" s="38">
        <f t="shared" si="10"/>
        <v>0</v>
      </c>
      <c r="F36" s="59">
        <f t="shared" si="12"/>
        <v>0</v>
      </c>
      <c r="G36" s="102">
        <f t="shared" si="11"/>
        <v>0</v>
      </c>
      <c r="H36" s="81"/>
      <c r="J36" s="263">
        <f t="shared" si="13"/>
        <v>0</v>
      </c>
    </row>
    <row r="37" spans="1:16" hidden="1" outlineLevel="1" x14ac:dyDescent="0.35">
      <c r="A37" s="40"/>
      <c r="B37" s="157">
        <v>0</v>
      </c>
      <c r="C37" s="102"/>
      <c r="D37" s="39">
        <v>5</v>
      </c>
      <c r="E37" s="38">
        <f t="shared" si="10"/>
        <v>0</v>
      </c>
      <c r="F37" s="59">
        <f t="shared" si="12"/>
        <v>0</v>
      </c>
      <c r="G37" s="102">
        <f t="shared" si="11"/>
        <v>0</v>
      </c>
      <c r="H37" s="81"/>
      <c r="J37" s="263">
        <f t="shared" si="13"/>
        <v>0</v>
      </c>
    </row>
    <row r="38" spans="1:16" hidden="1" outlineLevel="1" x14ac:dyDescent="0.35">
      <c r="A38" s="40"/>
      <c r="B38" s="157">
        <v>0</v>
      </c>
      <c r="C38" s="102"/>
      <c r="D38" s="39">
        <v>6</v>
      </c>
      <c r="E38" s="38">
        <f t="shared" si="10"/>
        <v>0</v>
      </c>
      <c r="F38" s="59">
        <f t="shared" si="12"/>
        <v>0</v>
      </c>
      <c r="G38" s="102">
        <f t="shared" si="11"/>
        <v>0</v>
      </c>
      <c r="H38" s="81"/>
      <c r="J38" s="263">
        <f t="shared" si="13"/>
        <v>0</v>
      </c>
    </row>
    <row r="39" spans="1:16" hidden="1" outlineLevel="1" x14ac:dyDescent="0.35">
      <c r="A39" s="40"/>
      <c r="B39" s="157">
        <v>0</v>
      </c>
      <c r="C39" s="102"/>
      <c r="D39" s="39">
        <v>7</v>
      </c>
      <c r="E39" s="38">
        <f t="shared" si="10"/>
        <v>0</v>
      </c>
      <c r="F39" s="59">
        <f t="shared" si="12"/>
        <v>0</v>
      </c>
      <c r="G39" s="102">
        <f t="shared" si="11"/>
        <v>0</v>
      </c>
      <c r="H39" s="81"/>
      <c r="J39" s="263">
        <f t="shared" si="13"/>
        <v>0</v>
      </c>
    </row>
    <row r="40" spans="1:16" hidden="1" outlineLevel="1" x14ac:dyDescent="0.35">
      <c r="A40" s="415"/>
      <c r="B40" s="157">
        <v>0</v>
      </c>
      <c r="C40" s="146"/>
      <c r="D40" s="39">
        <v>8</v>
      </c>
      <c r="E40" s="38">
        <f t="shared" si="10"/>
        <v>0</v>
      </c>
      <c r="F40" s="59">
        <f t="shared" si="12"/>
        <v>0</v>
      </c>
      <c r="G40" s="102">
        <f t="shared" si="11"/>
        <v>0</v>
      </c>
      <c r="J40" s="263">
        <f t="shared" si="13"/>
        <v>0</v>
      </c>
    </row>
    <row r="41" spans="1:16" ht="150" customHeight="1" collapsed="1" thickBot="1" x14ac:dyDescent="0.7">
      <c r="A41" s="416" t="s">
        <v>99</v>
      </c>
      <c r="B41" s="17" t="s">
        <v>55</v>
      </c>
      <c r="C41" s="145"/>
      <c r="D41" s="17"/>
      <c r="E41" s="9" t="s">
        <v>57</v>
      </c>
      <c r="F41" s="136" t="s">
        <v>58</v>
      </c>
      <c r="G41" s="83" t="s">
        <v>82</v>
      </c>
      <c r="H41" s="139"/>
    </row>
    <row r="42" spans="1:16" ht="22.5" thickBot="1" x14ac:dyDescent="0.4">
      <c r="A42" s="54">
        <f>SUM(E43:E51)</f>
        <v>215000</v>
      </c>
      <c r="B42" s="56" t="s">
        <v>62</v>
      </c>
      <c r="C42" s="144" t="s">
        <v>63</v>
      </c>
      <c r="D42" s="56"/>
      <c r="E42" s="57">
        <f>SUM(E43:E51)</f>
        <v>215000</v>
      </c>
      <c r="F42" s="177">
        <f>SUM(F43:F51)</f>
        <v>215000</v>
      </c>
      <c r="G42" s="265" t="s">
        <v>64</v>
      </c>
      <c r="H42" s="137">
        <f>SUM(H43:H51)</f>
        <v>246000</v>
      </c>
    </row>
    <row r="43" spans="1:16" ht="31" x14ac:dyDescent="0.35">
      <c r="A43" s="113" t="s">
        <v>100</v>
      </c>
      <c r="B43" s="157">
        <v>12000</v>
      </c>
      <c r="C43" s="102">
        <v>1</v>
      </c>
      <c r="D43" s="39">
        <v>1</v>
      </c>
      <c r="E43" s="38">
        <f t="shared" ref="E43:E51" si="14">B43*C43</f>
        <v>12000</v>
      </c>
      <c r="F43" s="59">
        <f t="shared" ref="F43:F49" si="15">E43</f>
        <v>12000</v>
      </c>
      <c r="G43" s="430">
        <f>C43</f>
        <v>1</v>
      </c>
      <c r="H43" s="263">
        <f t="shared" ref="H43:H48" si="16">(G43*B43*D43)</f>
        <v>12000</v>
      </c>
    </row>
    <row r="44" spans="1:16" x14ac:dyDescent="0.35">
      <c r="A44" s="40" t="s">
        <v>101</v>
      </c>
      <c r="B44" s="157">
        <v>6000</v>
      </c>
      <c r="C44" s="102">
        <v>15</v>
      </c>
      <c r="D44" s="39">
        <v>1</v>
      </c>
      <c r="E44" s="38">
        <f t="shared" si="14"/>
        <v>90000</v>
      </c>
      <c r="F44" s="59">
        <f t="shared" si="15"/>
        <v>90000</v>
      </c>
      <c r="G44" s="451">
        <f>C44+1</f>
        <v>16</v>
      </c>
      <c r="H44" s="263">
        <f t="shared" si="16"/>
        <v>96000</v>
      </c>
    </row>
    <row r="45" spans="1:16" x14ac:dyDescent="0.35">
      <c r="A45" s="40" t="s">
        <v>102</v>
      </c>
      <c r="B45" s="157">
        <v>15000</v>
      </c>
      <c r="C45" s="102">
        <v>1</v>
      </c>
      <c r="D45" s="39">
        <v>1</v>
      </c>
      <c r="E45" s="38">
        <f t="shared" si="14"/>
        <v>15000</v>
      </c>
      <c r="F45" s="59">
        <f t="shared" si="15"/>
        <v>15000</v>
      </c>
      <c r="G45" s="430">
        <v>2</v>
      </c>
      <c r="H45" s="263">
        <f t="shared" si="16"/>
        <v>30000</v>
      </c>
    </row>
    <row r="46" spans="1:16" x14ac:dyDescent="0.35">
      <c r="A46" s="40" t="s">
        <v>103</v>
      </c>
      <c r="B46" s="157">
        <v>2000</v>
      </c>
      <c r="C46" s="102"/>
      <c r="D46" s="39">
        <v>1</v>
      </c>
      <c r="E46" s="38">
        <f t="shared" si="14"/>
        <v>0</v>
      </c>
      <c r="F46" s="59">
        <f t="shared" si="15"/>
        <v>0</v>
      </c>
      <c r="G46" s="102">
        <f t="shared" ref="G46:G51" si="17">C46</f>
        <v>0</v>
      </c>
      <c r="H46" s="263">
        <f t="shared" si="16"/>
        <v>0</v>
      </c>
    </row>
    <row r="47" spans="1:16" x14ac:dyDescent="0.35">
      <c r="A47" s="40" t="s">
        <v>104</v>
      </c>
      <c r="B47" s="157">
        <v>10000</v>
      </c>
      <c r="C47" s="102">
        <v>5</v>
      </c>
      <c r="D47" s="39">
        <v>1</v>
      </c>
      <c r="E47" s="38">
        <f t="shared" si="14"/>
        <v>50000</v>
      </c>
      <c r="F47" s="59">
        <f t="shared" si="15"/>
        <v>50000</v>
      </c>
      <c r="G47" s="430">
        <v>6</v>
      </c>
      <c r="H47" s="263">
        <f t="shared" si="16"/>
        <v>60000</v>
      </c>
    </row>
    <row r="48" spans="1:16" ht="31" x14ac:dyDescent="0.35">
      <c r="A48" s="40" t="s">
        <v>105</v>
      </c>
      <c r="B48" s="157">
        <v>15000</v>
      </c>
      <c r="C48" s="102">
        <v>1</v>
      </c>
      <c r="D48" s="39">
        <v>1</v>
      </c>
      <c r="E48" s="38">
        <f t="shared" si="14"/>
        <v>15000</v>
      </c>
      <c r="F48" s="59">
        <f>E48</f>
        <v>15000</v>
      </c>
      <c r="G48" s="430">
        <f t="shared" si="17"/>
        <v>1</v>
      </c>
      <c r="H48" s="263">
        <f t="shared" si="16"/>
        <v>15000</v>
      </c>
    </row>
    <row r="49" spans="1:11" x14ac:dyDescent="0.35">
      <c r="A49" s="255" t="s">
        <v>106</v>
      </c>
      <c r="B49" s="157">
        <v>8000</v>
      </c>
      <c r="C49" s="102"/>
      <c r="D49" s="39">
        <v>1</v>
      </c>
      <c r="E49" s="38">
        <f t="shared" si="14"/>
        <v>0</v>
      </c>
      <c r="F49" s="59">
        <f t="shared" si="15"/>
        <v>0</v>
      </c>
      <c r="G49" s="102">
        <f t="shared" si="17"/>
        <v>0</v>
      </c>
      <c r="H49" s="81"/>
      <c r="J49" s="263"/>
    </row>
    <row r="50" spans="1:11" ht="31" x14ac:dyDescent="0.35">
      <c r="A50" s="40" t="s">
        <v>107</v>
      </c>
      <c r="B50" s="157">
        <v>18000</v>
      </c>
      <c r="C50" s="102">
        <v>1</v>
      </c>
      <c r="D50" s="39">
        <v>1</v>
      </c>
      <c r="E50" s="38">
        <f t="shared" ref="E50" si="18">B50*C50</f>
        <v>18000</v>
      </c>
      <c r="F50" s="59">
        <f>E50</f>
        <v>18000</v>
      </c>
      <c r="G50" s="466">
        <f t="shared" ref="G50" si="19">C50</f>
        <v>1</v>
      </c>
      <c r="H50" s="462">
        <f>(G50*B50*D50)</f>
        <v>18000</v>
      </c>
      <c r="K50" s="81"/>
    </row>
    <row r="51" spans="1:11" x14ac:dyDescent="0.35">
      <c r="A51" s="40" t="s">
        <v>346</v>
      </c>
      <c r="B51" s="157">
        <v>15000</v>
      </c>
      <c r="C51" s="102">
        <v>1</v>
      </c>
      <c r="D51" s="39">
        <v>1</v>
      </c>
      <c r="E51" s="38">
        <f t="shared" si="14"/>
        <v>15000</v>
      </c>
      <c r="F51" s="59">
        <f>E51</f>
        <v>15000</v>
      </c>
      <c r="G51" s="470">
        <f t="shared" si="17"/>
        <v>1</v>
      </c>
      <c r="H51" s="477">
        <f>(G51*B51*D51)</f>
        <v>15000</v>
      </c>
      <c r="K51" s="81"/>
    </row>
    <row r="52" spans="1:11" ht="57" thickBot="1" x14ac:dyDescent="0.7">
      <c r="A52" s="163" t="s">
        <v>12</v>
      </c>
      <c r="B52" s="17" t="s">
        <v>55</v>
      </c>
      <c r="C52" s="145" t="s">
        <v>91</v>
      </c>
      <c r="D52" s="17" t="s">
        <v>108</v>
      </c>
      <c r="E52" s="9" t="s">
        <v>57</v>
      </c>
      <c r="F52" s="136" t="s">
        <v>58</v>
      </c>
      <c r="G52" s="83" t="s">
        <v>82</v>
      </c>
      <c r="H52" s="139"/>
      <c r="K52" s="81"/>
    </row>
    <row r="53" spans="1:11" ht="22.5" thickBot="1" x14ac:dyDescent="0.4">
      <c r="A53" s="54">
        <f>+E53</f>
        <v>79316</v>
      </c>
      <c r="B53" s="56" t="s">
        <v>62</v>
      </c>
      <c r="C53" s="144" t="s">
        <v>63</v>
      </c>
      <c r="D53" s="56"/>
      <c r="E53" s="57">
        <f>SUM(E54:E58)</f>
        <v>79316</v>
      </c>
      <c r="F53" s="177">
        <f>SUM(F54:F58)</f>
        <v>79316</v>
      </c>
      <c r="G53" s="265" t="s">
        <v>64</v>
      </c>
      <c r="H53" s="137">
        <f>SUM(H54:H58)</f>
        <v>40000</v>
      </c>
      <c r="K53" s="417"/>
    </row>
    <row r="54" spans="1:11" x14ac:dyDescent="0.35">
      <c r="A54" s="40" t="s">
        <v>109</v>
      </c>
      <c r="B54" s="157">
        <v>3600</v>
      </c>
      <c r="C54" s="115">
        <v>7.31</v>
      </c>
      <c r="D54" s="39">
        <v>1</v>
      </c>
      <c r="E54" s="43">
        <f t="shared" ref="E54:E59" si="20">B54*C54*D54</f>
        <v>26316</v>
      </c>
      <c r="F54" s="59">
        <f t="shared" ref="F54:F59" si="21">E54</f>
        <v>26316</v>
      </c>
      <c r="G54" s="116">
        <f t="shared" ref="G54:G59" si="22">C54</f>
        <v>7.31</v>
      </c>
      <c r="J54" s="263"/>
      <c r="K54" s="240"/>
    </row>
    <row r="55" spans="1:11" x14ac:dyDescent="0.35">
      <c r="A55" s="40" t="s">
        <v>110</v>
      </c>
      <c r="B55" s="43">
        <v>13000</v>
      </c>
      <c r="C55" s="114">
        <v>1</v>
      </c>
      <c r="D55" s="39">
        <v>1</v>
      </c>
      <c r="E55" s="43">
        <f t="shared" si="20"/>
        <v>13000</v>
      </c>
      <c r="F55" s="59">
        <f t="shared" si="21"/>
        <v>13000</v>
      </c>
      <c r="G55" s="114">
        <f t="shared" si="22"/>
        <v>1</v>
      </c>
      <c r="H55" s="399"/>
      <c r="J55" s="263"/>
      <c r="K55" s="240"/>
    </row>
    <row r="56" spans="1:11" x14ac:dyDescent="0.35">
      <c r="A56" s="40" t="s">
        <v>111</v>
      </c>
      <c r="B56" s="157">
        <v>15000</v>
      </c>
      <c r="C56" s="114">
        <v>1</v>
      </c>
      <c r="D56" s="39">
        <v>1</v>
      </c>
      <c r="E56" s="43">
        <f t="shared" si="20"/>
        <v>15000</v>
      </c>
      <c r="F56" s="59">
        <f t="shared" si="21"/>
        <v>15000</v>
      </c>
      <c r="G56" s="485">
        <f t="shared" si="22"/>
        <v>1</v>
      </c>
      <c r="H56" s="483">
        <f>(G56*B56*D56)</f>
        <v>15000</v>
      </c>
      <c r="K56" s="240"/>
    </row>
    <row r="57" spans="1:11" ht="31" x14ac:dyDescent="0.35">
      <c r="A57" s="40" t="s">
        <v>112</v>
      </c>
      <c r="B57" s="157">
        <v>15000</v>
      </c>
      <c r="C57" s="114">
        <v>1</v>
      </c>
      <c r="D57" s="39">
        <v>1</v>
      </c>
      <c r="E57" s="43">
        <f t="shared" si="20"/>
        <v>15000</v>
      </c>
      <c r="F57" s="59">
        <f t="shared" si="21"/>
        <v>15000</v>
      </c>
      <c r="G57" s="485">
        <f t="shared" si="22"/>
        <v>1</v>
      </c>
      <c r="H57" s="483">
        <f>(G57*B57*D57)</f>
        <v>15000</v>
      </c>
      <c r="K57" s="240"/>
    </row>
    <row r="58" spans="1:11" ht="31" x14ac:dyDescent="0.35">
      <c r="A58" s="539" t="s">
        <v>374</v>
      </c>
      <c r="B58" s="157">
        <v>10000</v>
      </c>
      <c r="C58" s="114">
        <v>1</v>
      </c>
      <c r="D58" s="39">
        <v>1</v>
      </c>
      <c r="E58" s="43">
        <f t="shared" si="20"/>
        <v>10000</v>
      </c>
      <c r="F58" s="59">
        <f t="shared" si="21"/>
        <v>10000</v>
      </c>
      <c r="G58" s="572">
        <f t="shared" si="22"/>
        <v>1</v>
      </c>
      <c r="H58" s="573">
        <f>(G58*B58*D58)</f>
        <v>10000</v>
      </c>
      <c r="K58" s="240"/>
    </row>
    <row r="59" spans="1:11" x14ac:dyDescent="0.35">
      <c r="A59" s="40" t="s">
        <v>113</v>
      </c>
      <c r="B59" s="157">
        <v>15000</v>
      </c>
      <c r="C59" s="114">
        <v>4</v>
      </c>
      <c r="D59" s="39">
        <v>1</v>
      </c>
      <c r="E59" s="43">
        <f t="shared" si="20"/>
        <v>60000</v>
      </c>
      <c r="F59" s="59">
        <f t="shared" si="21"/>
        <v>60000</v>
      </c>
      <c r="G59" s="114">
        <f t="shared" si="22"/>
        <v>4</v>
      </c>
      <c r="H59" s="399"/>
      <c r="J59" s="263"/>
      <c r="K59" s="240"/>
    </row>
    <row r="60" spans="1:11" ht="44.5" thickBot="1" x14ac:dyDescent="0.7">
      <c r="A60" s="163" t="s">
        <v>13</v>
      </c>
      <c r="B60" s="17" t="s">
        <v>55</v>
      </c>
      <c r="C60" s="145" t="s">
        <v>91</v>
      </c>
      <c r="D60" s="17" t="s">
        <v>108</v>
      </c>
      <c r="E60" s="9" t="s">
        <v>57</v>
      </c>
      <c r="F60" s="136" t="s">
        <v>58</v>
      </c>
      <c r="G60" s="83" t="s">
        <v>82</v>
      </c>
      <c r="H60" s="139"/>
      <c r="K60" s="81"/>
    </row>
    <row r="61" spans="1:11" ht="22.5" thickBot="1" x14ac:dyDescent="0.4">
      <c r="A61" s="54">
        <f>SUM(E62:E69)</f>
        <v>0</v>
      </c>
      <c r="B61" s="56" t="s">
        <v>62</v>
      </c>
      <c r="C61" s="144" t="s">
        <v>63</v>
      </c>
      <c r="D61" s="56"/>
      <c r="E61" s="57">
        <f>SUM(E62:E69)</f>
        <v>0</v>
      </c>
      <c r="F61" s="177"/>
      <c r="G61" s="265" t="s">
        <v>64</v>
      </c>
      <c r="H61" s="137">
        <f>SUM(H62:H69)</f>
        <v>0</v>
      </c>
      <c r="K61" s="81"/>
    </row>
    <row r="62" spans="1:11" hidden="1" outlineLevel="1" x14ac:dyDescent="0.35">
      <c r="A62" s="40" t="s">
        <v>114</v>
      </c>
      <c r="B62" s="157">
        <v>11700</v>
      </c>
      <c r="C62" s="116">
        <v>0</v>
      </c>
      <c r="D62" s="44">
        <v>1</v>
      </c>
      <c r="E62" s="43">
        <f>C62*B62</f>
        <v>0</v>
      </c>
      <c r="F62" s="59">
        <f t="shared" ref="F62:F70" si="23">E62</f>
        <v>0</v>
      </c>
      <c r="G62" s="116">
        <f t="shared" ref="G62:G70" si="24">C62</f>
        <v>0</v>
      </c>
      <c r="H62" s="138"/>
      <c r="J62" s="263">
        <f t="shared" ref="J62:J73" si="25">(G62*B62*D62)</f>
        <v>0</v>
      </c>
      <c r="K62" s="81"/>
    </row>
    <row r="63" spans="1:11" hidden="1" outlineLevel="1" x14ac:dyDescent="0.35">
      <c r="A63" s="40" t="s">
        <v>115</v>
      </c>
      <c r="B63" s="157">
        <v>3900</v>
      </c>
      <c r="C63" s="116">
        <f>C62</f>
        <v>0</v>
      </c>
      <c r="D63" s="44">
        <v>1</v>
      </c>
      <c r="E63" s="43">
        <f t="shared" ref="E63:E73" si="26">B63*C63</f>
        <v>0</v>
      </c>
      <c r="F63" s="59">
        <f>E63</f>
        <v>0</v>
      </c>
      <c r="G63" s="142">
        <f t="shared" si="24"/>
        <v>0</v>
      </c>
      <c r="H63" s="138"/>
      <c r="J63" s="263">
        <f t="shared" si="25"/>
        <v>0</v>
      </c>
      <c r="K63" s="81"/>
    </row>
    <row r="64" spans="1:11" hidden="1" outlineLevel="1" x14ac:dyDescent="0.35">
      <c r="A64" s="40" t="s">
        <v>116</v>
      </c>
      <c r="B64" s="157">
        <v>2860</v>
      </c>
      <c r="C64" s="116">
        <f>C62</f>
        <v>0</v>
      </c>
      <c r="D64" s="44">
        <v>1</v>
      </c>
      <c r="E64" s="43">
        <f t="shared" si="26"/>
        <v>0</v>
      </c>
      <c r="F64" s="59">
        <f t="shared" si="23"/>
        <v>0</v>
      </c>
      <c r="G64" s="116">
        <f t="shared" si="24"/>
        <v>0</v>
      </c>
      <c r="H64" s="138"/>
      <c r="J64" s="263">
        <f t="shared" si="25"/>
        <v>0</v>
      </c>
      <c r="K64" s="81"/>
    </row>
    <row r="65" spans="1:15" hidden="1" outlineLevel="1" x14ac:dyDescent="0.35">
      <c r="A65" s="40" t="s">
        <v>117</v>
      </c>
      <c r="B65" s="157">
        <v>5850</v>
      </c>
      <c r="C65" s="116">
        <f>C64</f>
        <v>0</v>
      </c>
      <c r="D65" s="44">
        <v>1</v>
      </c>
      <c r="E65" s="43">
        <f t="shared" si="26"/>
        <v>0</v>
      </c>
      <c r="F65" s="59">
        <f t="shared" si="23"/>
        <v>0</v>
      </c>
      <c r="G65" s="116">
        <f t="shared" si="24"/>
        <v>0</v>
      </c>
      <c r="H65" s="138"/>
      <c r="J65" s="263">
        <f t="shared" si="25"/>
        <v>0</v>
      </c>
      <c r="K65" s="81"/>
    </row>
    <row r="66" spans="1:15" hidden="1" outlineLevel="1" x14ac:dyDescent="0.35">
      <c r="A66" s="40" t="s">
        <v>118</v>
      </c>
      <c r="B66" s="157">
        <v>10400</v>
      </c>
      <c r="C66" s="122">
        <v>0</v>
      </c>
      <c r="D66" s="39">
        <v>1</v>
      </c>
      <c r="E66" s="43">
        <f t="shared" si="26"/>
        <v>0</v>
      </c>
      <c r="F66" s="59">
        <f t="shared" si="23"/>
        <v>0</v>
      </c>
      <c r="G66" s="124">
        <f t="shared" si="24"/>
        <v>0</v>
      </c>
      <c r="H66" s="138"/>
      <c r="J66" s="263">
        <f t="shared" si="25"/>
        <v>0</v>
      </c>
      <c r="K66" s="81"/>
    </row>
    <row r="67" spans="1:15" ht="30" hidden="1" customHeight="1" outlineLevel="1" x14ac:dyDescent="0.35">
      <c r="A67" s="40" t="s">
        <v>119</v>
      </c>
      <c r="B67" s="157">
        <v>1690</v>
      </c>
      <c r="C67" s="256">
        <v>0</v>
      </c>
      <c r="D67" s="74">
        <v>2</v>
      </c>
      <c r="E67" s="43">
        <f t="shared" si="26"/>
        <v>0</v>
      </c>
      <c r="F67" s="59">
        <f t="shared" si="23"/>
        <v>0</v>
      </c>
      <c r="G67" s="256">
        <f t="shared" si="24"/>
        <v>0</v>
      </c>
      <c r="H67" s="138"/>
      <c r="J67" s="263">
        <f t="shared" si="25"/>
        <v>0</v>
      </c>
      <c r="K67" s="81"/>
      <c r="L67" s="81"/>
      <c r="M67" s="81"/>
      <c r="N67" s="81"/>
      <c r="O67" s="81"/>
    </row>
    <row r="68" spans="1:15" hidden="1" outlineLevel="1" x14ac:dyDescent="0.35">
      <c r="A68" s="40" t="s">
        <v>120</v>
      </c>
      <c r="B68" s="157">
        <v>3900</v>
      </c>
      <c r="C68" s="122">
        <v>0</v>
      </c>
      <c r="D68" s="39">
        <v>1</v>
      </c>
      <c r="E68" s="43">
        <f t="shared" si="26"/>
        <v>0</v>
      </c>
      <c r="F68" s="59">
        <f>E68</f>
        <v>0</v>
      </c>
      <c r="G68" s="124">
        <f>C68</f>
        <v>0</v>
      </c>
      <c r="H68" s="138"/>
      <c r="J68" s="263">
        <f t="shared" si="25"/>
        <v>0</v>
      </c>
      <c r="K68" s="81"/>
      <c r="L68" s="81"/>
      <c r="M68" s="81"/>
      <c r="N68" s="81"/>
      <c r="O68" s="81"/>
    </row>
    <row r="69" spans="1:15" ht="77.5" hidden="1" outlineLevel="1" x14ac:dyDescent="0.35">
      <c r="A69" s="40" t="s">
        <v>121</v>
      </c>
      <c r="B69" s="157">
        <v>117000</v>
      </c>
      <c r="C69" s="102">
        <v>0</v>
      </c>
      <c r="D69" s="39">
        <v>1</v>
      </c>
      <c r="E69" s="43">
        <f t="shared" si="26"/>
        <v>0</v>
      </c>
      <c r="F69" s="59">
        <f t="shared" si="23"/>
        <v>0</v>
      </c>
      <c r="G69" s="102">
        <f t="shared" si="24"/>
        <v>0</v>
      </c>
      <c r="H69" s="138"/>
      <c r="J69" s="263">
        <f t="shared" si="25"/>
        <v>0</v>
      </c>
      <c r="K69" s="81"/>
      <c r="L69" s="81"/>
      <c r="M69" s="81"/>
      <c r="N69" s="81"/>
      <c r="O69" s="81"/>
    </row>
    <row r="70" spans="1:15" ht="31" hidden="1" outlineLevel="1" x14ac:dyDescent="0.35">
      <c r="A70" s="40" t="s">
        <v>122</v>
      </c>
      <c r="B70" s="157">
        <v>10400</v>
      </c>
      <c r="C70" s="102">
        <f>C69</f>
        <v>0</v>
      </c>
      <c r="D70" s="74">
        <v>2</v>
      </c>
      <c r="E70" s="43">
        <f t="shared" si="26"/>
        <v>0</v>
      </c>
      <c r="F70" s="59">
        <f t="shared" si="23"/>
        <v>0</v>
      </c>
      <c r="G70" s="102">
        <f t="shared" si="24"/>
        <v>0</v>
      </c>
      <c r="H70" s="138"/>
      <c r="J70" s="263">
        <f t="shared" si="25"/>
        <v>0</v>
      </c>
      <c r="K70" s="81"/>
      <c r="L70" s="81"/>
      <c r="M70" s="81"/>
      <c r="N70" s="81"/>
      <c r="O70" s="81"/>
    </row>
    <row r="71" spans="1:15" ht="54" hidden="1" customHeight="1" outlineLevel="1" x14ac:dyDescent="0.35">
      <c r="A71" s="40" t="s">
        <v>123</v>
      </c>
      <c r="B71" s="157">
        <v>4160</v>
      </c>
      <c r="C71" s="142">
        <f>C62</f>
        <v>0</v>
      </c>
      <c r="D71" s="74">
        <v>1</v>
      </c>
      <c r="E71" s="43">
        <f t="shared" si="26"/>
        <v>0</v>
      </c>
      <c r="F71" s="59">
        <f>E71</f>
        <v>0</v>
      </c>
      <c r="G71" s="142">
        <f>C71</f>
        <v>0</v>
      </c>
      <c r="H71" s="138"/>
      <c r="J71" s="263">
        <f t="shared" si="25"/>
        <v>0</v>
      </c>
      <c r="K71" s="81"/>
      <c r="L71" s="81"/>
      <c r="M71" s="81"/>
      <c r="N71" s="81"/>
      <c r="O71" s="81"/>
    </row>
    <row r="72" spans="1:15" hidden="1" outlineLevel="1" x14ac:dyDescent="0.35">
      <c r="A72" s="40" t="s">
        <v>124</v>
      </c>
      <c r="B72" s="157">
        <v>3900</v>
      </c>
      <c r="C72" s="116">
        <f>C62</f>
        <v>0</v>
      </c>
      <c r="D72" s="44">
        <v>1</v>
      </c>
      <c r="E72" s="43">
        <f t="shared" si="26"/>
        <v>0</v>
      </c>
      <c r="F72" s="59">
        <f>E72</f>
        <v>0</v>
      </c>
      <c r="G72" s="116">
        <f>C72</f>
        <v>0</v>
      </c>
      <c r="H72" s="138"/>
      <c r="J72" s="263">
        <f t="shared" si="25"/>
        <v>0</v>
      </c>
      <c r="K72" s="81"/>
      <c r="L72" s="81"/>
      <c r="M72" s="81"/>
      <c r="N72" s="81"/>
      <c r="O72" s="81"/>
    </row>
    <row r="73" spans="1:15" ht="36" hidden="1" customHeight="1" outlineLevel="1" x14ac:dyDescent="0.35">
      <c r="A73" s="40" t="s">
        <v>125</v>
      </c>
      <c r="B73" s="157">
        <v>2470</v>
      </c>
      <c r="C73" s="116">
        <f>C72</f>
        <v>0</v>
      </c>
      <c r="D73" s="44">
        <v>1</v>
      </c>
      <c r="E73" s="43">
        <f t="shared" si="26"/>
        <v>0</v>
      </c>
      <c r="F73" s="59">
        <f>E73</f>
        <v>0</v>
      </c>
      <c r="G73" s="116">
        <f>C73</f>
        <v>0</v>
      </c>
      <c r="H73" s="138"/>
      <c r="J73" s="263">
        <f t="shared" si="25"/>
        <v>0</v>
      </c>
      <c r="K73" s="81"/>
      <c r="L73" s="81"/>
      <c r="M73" s="81"/>
      <c r="N73" s="81"/>
      <c r="O73" s="81"/>
    </row>
    <row r="74" spans="1:15" ht="124.5" collapsed="1" thickBot="1" x14ac:dyDescent="0.7">
      <c r="A74" s="163" t="s">
        <v>126</v>
      </c>
      <c r="B74" s="17" t="s">
        <v>55</v>
      </c>
      <c r="C74" s="145" t="s">
        <v>91</v>
      </c>
      <c r="D74" s="17"/>
      <c r="E74" s="9" t="s">
        <v>57</v>
      </c>
      <c r="F74" s="136" t="s">
        <v>58</v>
      </c>
      <c r="G74" s="83" t="s">
        <v>82</v>
      </c>
      <c r="K74" s="81"/>
      <c r="L74" s="81"/>
      <c r="M74" s="81"/>
      <c r="N74" s="81"/>
      <c r="O74" s="81"/>
    </row>
    <row r="75" spans="1:15" ht="22.5" thickBot="1" x14ac:dyDescent="0.4">
      <c r="A75" s="54">
        <f>SUM(E76:E92)</f>
        <v>429684</v>
      </c>
      <c r="B75" s="56" t="s">
        <v>62</v>
      </c>
      <c r="C75" s="144" t="s">
        <v>63</v>
      </c>
      <c r="D75" s="56"/>
      <c r="E75" s="57">
        <f>SUM(E76:E83)</f>
        <v>429684</v>
      </c>
      <c r="F75" s="177">
        <f>SUM(F76:F94)</f>
        <v>429684</v>
      </c>
      <c r="G75" s="265" t="s">
        <v>64</v>
      </c>
      <c r="H75" s="137">
        <f>SUM(H76:H83)</f>
        <v>464034</v>
      </c>
      <c r="K75" s="240"/>
      <c r="L75" s="81"/>
      <c r="M75" s="81"/>
      <c r="N75" s="81"/>
      <c r="O75" s="81"/>
    </row>
    <row r="76" spans="1:15" x14ac:dyDescent="0.35">
      <c r="A76" s="40" t="s">
        <v>127</v>
      </c>
      <c r="B76" s="157">
        <v>13000</v>
      </c>
      <c r="C76" s="115">
        <v>11.15</v>
      </c>
      <c r="D76" s="44">
        <v>1</v>
      </c>
      <c r="E76" s="43">
        <f t="shared" ref="E76:E81" si="27">B76*C76</f>
        <v>144950</v>
      </c>
      <c r="F76" s="59">
        <f t="shared" ref="F76:F81" si="28">E76</f>
        <v>144950</v>
      </c>
      <c r="G76" s="497">
        <v>10</v>
      </c>
      <c r="H76" s="491">
        <f t="shared" ref="H76:H84" si="29">(G76*B76*D76)</f>
        <v>130000</v>
      </c>
      <c r="K76" s="240"/>
      <c r="L76" s="81"/>
      <c r="M76" s="81"/>
      <c r="N76" s="81"/>
      <c r="O76" s="81"/>
    </row>
    <row r="77" spans="1:15" x14ac:dyDescent="0.35">
      <c r="A77" s="40" t="s">
        <v>128</v>
      </c>
      <c r="B77" s="157">
        <v>13000</v>
      </c>
      <c r="C77" s="97">
        <v>2.92</v>
      </c>
      <c r="D77" s="44">
        <v>1</v>
      </c>
      <c r="E77" s="38">
        <f t="shared" si="27"/>
        <v>37960</v>
      </c>
      <c r="F77" s="59">
        <f t="shared" si="28"/>
        <v>37960</v>
      </c>
      <c r="G77" s="486">
        <f>C77</f>
        <v>2.92</v>
      </c>
      <c r="H77" s="483">
        <f t="shared" si="29"/>
        <v>37960</v>
      </c>
      <c r="K77" s="240"/>
      <c r="L77" s="81"/>
      <c r="M77" s="81"/>
      <c r="N77" s="81"/>
      <c r="O77" s="81"/>
    </row>
    <row r="78" spans="1:15" x14ac:dyDescent="0.35">
      <c r="A78" s="40" t="s">
        <v>129</v>
      </c>
      <c r="B78" s="157">
        <v>12000</v>
      </c>
      <c r="C78" s="97">
        <v>7.31</v>
      </c>
      <c r="D78" s="44">
        <v>1</v>
      </c>
      <c r="E78" s="38">
        <f t="shared" si="27"/>
        <v>87720</v>
      </c>
      <c r="F78" s="59">
        <f t="shared" si="28"/>
        <v>87720</v>
      </c>
      <c r="G78" s="497">
        <f>C78</f>
        <v>7.31</v>
      </c>
      <c r="H78" s="491">
        <f t="shared" si="29"/>
        <v>87720</v>
      </c>
      <c r="K78" s="240"/>
      <c r="L78" s="81"/>
      <c r="M78" s="81"/>
      <c r="N78" s="81"/>
      <c r="O78" s="81"/>
    </row>
    <row r="79" spans="1:15" x14ac:dyDescent="0.35">
      <c r="A79" s="40" t="s">
        <v>130</v>
      </c>
      <c r="B79" s="157">
        <v>10000</v>
      </c>
      <c r="C79" s="152">
        <v>8</v>
      </c>
      <c r="D79" s="44">
        <v>1</v>
      </c>
      <c r="E79" s="38">
        <f t="shared" si="27"/>
        <v>80000</v>
      </c>
      <c r="F79" s="59">
        <f t="shared" si="28"/>
        <v>80000</v>
      </c>
      <c r="G79" s="501">
        <v>8.6999999999999993</v>
      </c>
      <c r="H79" s="502">
        <f t="shared" si="29"/>
        <v>87000</v>
      </c>
      <c r="K79" s="240"/>
      <c r="L79" s="81"/>
      <c r="M79" s="81"/>
      <c r="N79" s="81"/>
      <c r="O79" s="81"/>
    </row>
    <row r="80" spans="1:15" x14ac:dyDescent="0.35">
      <c r="A80" s="40" t="s">
        <v>131</v>
      </c>
      <c r="B80" s="157">
        <v>800</v>
      </c>
      <c r="C80" s="97">
        <f>SUM(C76:C79)</f>
        <v>29.38</v>
      </c>
      <c r="D80" s="44">
        <v>1</v>
      </c>
      <c r="E80" s="38">
        <f t="shared" si="27"/>
        <v>23504</v>
      </c>
      <c r="F80" s="59">
        <f t="shared" si="28"/>
        <v>23504</v>
      </c>
      <c r="G80" s="520">
        <f>C80</f>
        <v>29.38</v>
      </c>
      <c r="H80" s="521">
        <f t="shared" si="29"/>
        <v>23504</v>
      </c>
      <c r="K80" s="240"/>
      <c r="L80" s="81"/>
      <c r="M80" s="81"/>
      <c r="N80" s="81"/>
      <c r="O80" s="81"/>
    </row>
    <row r="81" spans="1:15" x14ac:dyDescent="0.35">
      <c r="A81" s="40" t="s">
        <v>132</v>
      </c>
      <c r="B81" s="157">
        <v>2200</v>
      </c>
      <c r="C81" s="97">
        <f>C16</f>
        <v>25.25</v>
      </c>
      <c r="D81" s="44">
        <v>1</v>
      </c>
      <c r="E81" s="38">
        <f t="shared" si="27"/>
        <v>55550</v>
      </c>
      <c r="F81" s="59">
        <f t="shared" si="28"/>
        <v>55550</v>
      </c>
      <c r="G81" s="534">
        <f>C81</f>
        <v>25.25</v>
      </c>
      <c r="H81" s="531">
        <f t="shared" si="29"/>
        <v>55550</v>
      </c>
      <c r="K81" s="240"/>
      <c r="L81" s="81"/>
      <c r="M81" s="81"/>
      <c r="N81" s="81"/>
      <c r="O81" s="81"/>
    </row>
    <row r="82" spans="1:15" ht="31" x14ac:dyDescent="0.35">
      <c r="A82" s="40" t="s">
        <v>360</v>
      </c>
      <c r="B82" s="157">
        <v>1200</v>
      </c>
      <c r="C82" s="152"/>
      <c r="D82" s="44">
        <v>1</v>
      </c>
      <c r="E82" s="38"/>
      <c r="F82" s="59"/>
      <c r="G82" s="520">
        <f>C81</f>
        <v>25.25</v>
      </c>
      <c r="H82" s="483">
        <f t="shared" si="29"/>
        <v>30300</v>
      </c>
      <c r="K82" s="240"/>
      <c r="L82" s="81"/>
      <c r="M82" s="81"/>
      <c r="N82" s="81"/>
      <c r="O82" s="81"/>
    </row>
    <row r="83" spans="1:15" ht="31" x14ac:dyDescent="0.35">
      <c r="A83" s="40" t="s">
        <v>365</v>
      </c>
      <c r="B83" s="157">
        <v>1200</v>
      </c>
      <c r="C83" s="97"/>
      <c r="D83" s="44">
        <v>1</v>
      </c>
      <c r="E83" s="38"/>
      <c r="F83" s="59"/>
      <c r="G83" s="497">
        <v>10</v>
      </c>
      <c r="H83" s="491">
        <f t="shared" si="29"/>
        <v>12000</v>
      </c>
      <c r="J83" s="263"/>
      <c r="K83" s="240"/>
    </row>
    <row r="84" spans="1:15" x14ac:dyDescent="0.35">
      <c r="A84" s="40" t="s">
        <v>366</v>
      </c>
      <c r="B84" s="157">
        <v>1500</v>
      </c>
      <c r="C84" s="97"/>
      <c r="D84" s="44">
        <v>1</v>
      </c>
      <c r="E84" s="38"/>
      <c r="F84" s="59"/>
      <c r="G84" s="492">
        <v>4</v>
      </c>
      <c r="H84" s="491">
        <f t="shared" si="29"/>
        <v>6000</v>
      </c>
      <c r="J84" s="263"/>
      <c r="K84" s="240"/>
    </row>
    <row r="85" spans="1:15" outlineLevel="1" x14ac:dyDescent="0.35">
      <c r="A85" s="120" t="s">
        <v>133</v>
      </c>
      <c r="B85" s="418"/>
      <c r="C85" s="266"/>
      <c r="D85" s="117"/>
      <c r="E85" s="41"/>
      <c r="F85" s="64"/>
      <c r="G85" s="111"/>
      <c r="J85" s="263"/>
      <c r="K85" s="81"/>
    </row>
    <row r="86" spans="1:15" outlineLevel="1" x14ac:dyDescent="0.35">
      <c r="A86" s="113"/>
      <c r="B86" s="41"/>
      <c r="C86" s="147"/>
      <c r="D86" s="117"/>
      <c r="E86" s="41"/>
      <c r="F86" s="64"/>
      <c r="G86" s="111"/>
      <c r="J86" s="263"/>
      <c r="K86" s="81"/>
    </row>
    <row r="87" spans="1:15" outlineLevel="1" x14ac:dyDescent="0.35">
      <c r="A87" s="113"/>
      <c r="B87" s="41"/>
      <c r="C87" s="147"/>
      <c r="D87" s="117"/>
      <c r="E87" s="41"/>
      <c r="F87" s="64"/>
      <c r="G87" s="111"/>
      <c r="J87" s="263"/>
      <c r="K87" s="81"/>
    </row>
    <row r="88" spans="1:15" outlineLevel="1" x14ac:dyDescent="0.35">
      <c r="A88" s="113"/>
      <c r="B88" s="41"/>
      <c r="C88" s="147"/>
      <c r="D88" s="117"/>
      <c r="E88" s="41"/>
      <c r="F88" s="64"/>
      <c r="G88" s="111"/>
      <c r="J88" s="263"/>
      <c r="K88" s="81"/>
    </row>
    <row r="89" spans="1:15" outlineLevel="1" x14ac:dyDescent="0.35">
      <c r="A89" s="113"/>
      <c r="B89" s="41"/>
      <c r="C89" s="147"/>
      <c r="D89" s="117"/>
      <c r="E89" s="41"/>
      <c r="F89" s="64"/>
      <c r="G89" s="111"/>
      <c r="J89" s="263"/>
      <c r="K89" s="81"/>
    </row>
    <row r="90" spans="1:15" outlineLevel="1" x14ac:dyDescent="0.35">
      <c r="A90" s="113"/>
      <c r="B90" s="41"/>
      <c r="C90" s="147"/>
      <c r="D90" s="117"/>
      <c r="E90" s="41"/>
      <c r="F90" s="64"/>
      <c r="G90" s="111"/>
      <c r="J90" s="263"/>
      <c r="K90" s="81"/>
    </row>
    <row r="91" spans="1:15" outlineLevel="1" x14ac:dyDescent="0.35">
      <c r="A91" s="113"/>
      <c r="B91" s="41"/>
      <c r="C91" s="147"/>
      <c r="D91" s="117"/>
      <c r="E91" s="41"/>
      <c r="F91" s="64"/>
      <c r="G91" s="111"/>
      <c r="J91" s="263"/>
      <c r="K91" s="81"/>
    </row>
    <row r="92" spans="1:15" outlineLevel="1" x14ac:dyDescent="0.35">
      <c r="A92" s="113"/>
      <c r="B92" s="41"/>
      <c r="C92" s="147"/>
      <c r="D92" s="117"/>
      <c r="E92" s="41"/>
      <c r="F92" s="64"/>
      <c r="G92" s="111"/>
      <c r="J92" s="263"/>
      <c r="K92" s="81"/>
    </row>
    <row r="93" spans="1:15" outlineLevel="1" x14ac:dyDescent="0.35">
      <c r="A93" s="419"/>
      <c r="B93" s="41"/>
      <c r="C93" s="147"/>
      <c r="D93" s="117"/>
      <c r="E93" s="81"/>
      <c r="F93" s="81"/>
      <c r="J93" s="263"/>
      <c r="K93" s="81"/>
    </row>
    <row r="94" spans="1:15" outlineLevel="1" x14ac:dyDescent="0.35">
      <c r="A94" s="419"/>
      <c r="B94" s="41"/>
      <c r="C94" s="147"/>
      <c r="D94" s="117"/>
      <c r="E94" s="81"/>
      <c r="F94" s="81"/>
      <c r="J94" s="263"/>
      <c r="K94" s="81"/>
    </row>
    <row r="95" spans="1:15" ht="186.5" thickBot="1" x14ac:dyDescent="0.7">
      <c r="A95" s="163" t="s">
        <v>134</v>
      </c>
      <c r="B95" s="17" t="s">
        <v>55</v>
      </c>
      <c r="C95" s="145" t="s">
        <v>91</v>
      </c>
      <c r="D95" s="118" t="s">
        <v>108</v>
      </c>
      <c r="E95" s="9" t="s">
        <v>57</v>
      </c>
      <c r="F95" s="136" t="s">
        <v>58</v>
      </c>
      <c r="G95" s="83" t="s">
        <v>82</v>
      </c>
      <c r="K95" s="81"/>
    </row>
    <row r="96" spans="1:15" ht="22.5" thickBot="1" x14ac:dyDescent="0.4">
      <c r="A96" s="70">
        <f>SUM(E97:E103)</f>
        <v>350249.7</v>
      </c>
      <c r="B96" s="56" t="s">
        <v>62</v>
      </c>
      <c r="C96" s="148" t="s">
        <v>63</v>
      </c>
      <c r="D96" s="71"/>
      <c r="E96" s="72">
        <f>SUM(E97:E104)</f>
        <v>350249.7</v>
      </c>
      <c r="F96" s="177">
        <f>SUM(F97:F103)</f>
        <v>350249.7</v>
      </c>
      <c r="G96" s="265" t="s">
        <v>64</v>
      </c>
      <c r="H96" s="137">
        <f>SUM(H97:H125)</f>
        <v>479251</v>
      </c>
      <c r="K96" s="240"/>
    </row>
    <row r="97" spans="1:11" x14ac:dyDescent="0.35">
      <c r="A97" s="40" t="s">
        <v>135</v>
      </c>
      <c r="B97" s="157">
        <v>290</v>
      </c>
      <c r="C97" s="152">
        <f>B106</f>
        <v>117.93000000000002</v>
      </c>
      <c r="D97" s="74">
        <v>1</v>
      </c>
      <c r="E97" s="38">
        <f t="shared" ref="E97:E103" si="30">B97*C97*D97</f>
        <v>34199.700000000004</v>
      </c>
      <c r="F97" s="59">
        <f t="shared" ref="F97:F105" si="31">E97</f>
        <v>34199.700000000004</v>
      </c>
      <c r="G97" s="514">
        <f>C98</f>
        <v>105</v>
      </c>
      <c r="H97" s="511">
        <f>(G97*B97*D97)</f>
        <v>30450</v>
      </c>
      <c r="K97" s="81"/>
    </row>
    <row r="98" spans="1:11" s="81" customFormat="1" x14ac:dyDescent="0.35">
      <c r="A98" s="40" t="s">
        <v>136</v>
      </c>
      <c r="B98" s="157">
        <v>700</v>
      </c>
      <c r="C98" s="152">
        <f>G17</f>
        <v>105</v>
      </c>
      <c r="D98" s="264">
        <v>2</v>
      </c>
      <c r="E98" s="38">
        <f t="shared" si="30"/>
        <v>147000</v>
      </c>
      <c r="F98" s="59">
        <f t="shared" si="31"/>
        <v>147000</v>
      </c>
      <c r="G98" s="152">
        <f t="shared" ref="G98:G104" si="32">C98</f>
        <v>105</v>
      </c>
      <c r="H98" s="138"/>
      <c r="I98" s="217"/>
      <c r="J98" s="263"/>
    </row>
    <row r="99" spans="1:11" x14ac:dyDescent="0.35">
      <c r="A99" s="40" t="s">
        <v>137</v>
      </c>
      <c r="B99" s="157">
        <v>150</v>
      </c>
      <c r="C99" s="152">
        <f>C98</f>
        <v>105</v>
      </c>
      <c r="D99" s="74">
        <v>2</v>
      </c>
      <c r="E99" s="38">
        <f t="shared" si="30"/>
        <v>31500</v>
      </c>
      <c r="F99" s="59">
        <f t="shared" si="31"/>
        <v>31500</v>
      </c>
      <c r="G99" s="469">
        <f t="shared" si="32"/>
        <v>105</v>
      </c>
      <c r="H99" s="468">
        <f>(G99*B99*D99)</f>
        <v>31500</v>
      </c>
      <c r="K99" s="81"/>
    </row>
    <row r="100" spans="1:11" x14ac:dyDescent="0.35">
      <c r="A100" s="40" t="s">
        <v>138</v>
      </c>
      <c r="B100" s="157">
        <v>210</v>
      </c>
      <c r="C100" s="152">
        <f>C99</f>
        <v>105</v>
      </c>
      <c r="D100" s="264">
        <v>1</v>
      </c>
      <c r="E100" s="38">
        <f t="shared" si="30"/>
        <v>22050</v>
      </c>
      <c r="F100" s="59">
        <f>E100</f>
        <v>22050</v>
      </c>
      <c r="G100" s="469">
        <f>C100</f>
        <v>105</v>
      </c>
      <c r="H100" s="468">
        <f>(G100*B100*D100)</f>
        <v>22050</v>
      </c>
      <c r="K100" s="527"/>
    </row>
    <row r="101" spans="1:11" x14ac:dyDescent="0.35">
      <c r="A101" s="40" t="s">
        <v>139</v>
      </c>
      <c r="B101" s="157">
        <v>250</v>
      </c>
      <c r="C101" s="152">
        <f>C100</f>
        <v>105</v>
      </c>
      <c r="D101" s="264">
        <v>2</v>
      </c>
      <c r="E101" s="38">
        <f t="shared" si="30"/>
        <v>52500</v>
      </c>
      <c r="F101" s="59">
        <f t="shared" si="31"/>
        <v>52500</v>
      </c>
      <c r="G101" s="520">
        <f>G97</f>
        <v>105</v>
      </c>
      <c r="H101" s="521">
        <f>(G101*B101*D101)</f>
        <v>52500</v>
      </c>
    </row>
    <row r="102" spans="1:11" ht="31" x14ac:dyDescent="0.35">
      <c r="A102" s="40" t="s">
        <v>140</v>
      </c>
      <c r="B102" s="157">
        <v>600</v>
      </c>
      <c r="C102" s="152">
        <f>C101</f>
        <v>105</v>
      </c>
      <c r="D102" s="74">
        <v>1</v>
      </c>
      <c r="E102" s="38">
        <f t="shared" si="30"/>
        <v>63000</v>
      </c>
      <c r="F102" s="59">
        <f t="shared" si="31"/>
        <v>63000</v>
      </c>
      <c r="G102" s="520">
        <f>G98</f>
        <v>105</v>
      </c>
      <c r="H102" s="521">
        <f>(G102*B102*D102)</f>
        <v>63000</v>
      </c>
      <c r="K102" s="513"/>
    </row>
    <row r="103" spans="1:11" x14ac:dyDescent="0.35">
      <c r="A103" s="40" t="s">
        <v>370</v>
      </c>
      <c r="B103" s="157">
        <v>15000</v>
      </c>
      <c r="C103" s="249"/>
      <c r="D103" s="264">
        <v>1</v>
      </c>
      <c r="E103" s="38">
        <f t="shared" si="30"/>
        <v>0</v>
      </c>
      <c r="F103" s="59">
        <f>E103</f>
        <v>0</v>
      </c>
      <c r="G103" s="518">
        <v>1</v>
      </c>
      <c r="H103" s="511">
        <f>(G103*B103*D103)</f>
        <v>15000</v>
      </c>
    </row>
    <row r="104" spans="1:11" outlineLevel="1" x14ac:dyDescent="0.35">
      <c r="A104" s="40" t="s">
        <v>141</v>
      </c>
      <c r="B104" s="157">
        <v>325</v>
      </c>
      <c r="C104" s="286"/>
      <c r="D104" s="44">
        <v>1</v>
      </c>
      <c r="E104" s="38">
        <f>B104*C104</f>
        <v>0</v>
      </c>
      <c r="F104" s="59">
        <f t="shared" si="31"/>
        <v>0</v>
      </c>
      <c r="G104" s="166">
        <f t="shared" si="32"/>
        <v>0</v>
      </c>
      <c r="H104" s="138"/>
      <c r="J104" s="263">
        <f t="shared" ref="J104:J105" si="33">(G104*B104*D104)</f>
        <v>0</v>
      </c>
    </row>
    <row r="105" spans="1:11" outlineLevel="1" x14ac:dyDescent="0.35">
      <c r="A105" s="40" t="s">
        <v>142</v>
      </c>
      <c r="B105" s="157">
        <v>845</v>
      </c>
      <c r="C105" s="166"/>
      <c r="D105" s="44">
        <v>1</v>
      </c>
      <c r="E105" s="38">
        <f>B105*C105</f>
        <v>0</v>
      </c>
      <c r="F105" s="59">
        <f t="shared" si="31"/>
        <v>0</v>
      </c>
      <c r="G105" s="166">
        <f>C105</f>
        <v>0</v>
      </c>
      <c r="H105" s="138"/>
      <c r="J105" s="263">
        <f t="shared" si="33"/>
        <v>0</v>
      </c>
    </row>
    <row r="106" spans="1:11" x14ac:dyDescent="0.35">
      <c r="A106" s="113"/>
      <c r="B106" s="225">
        <f>SUM(B107:B111)</f>
        <v>117.93000000000002</v>
      </c>
      <c r="C106" s="119"/>
      <c r="D106" s="113"/>
      <c r="E106" s="113"/>
      <c r="F106" s="113"/>
      <c r="G106" s="119"/>
      <c r="H106" s="138"/>
      <c r="J106" s="263"/>
    </row>
    <row r="107" spans="1:11" x14ac:dyDescent="0.35">
      <c r="A107" s="120" t="s">
        <v>143</v>
      </c>
      <c r="B107" s="121">
        <v>35.479999999999997</v>
      </c>
      <c r="C107" s="227"/>
      <c r="D107" s="113"/>
      <c r="E107" s="113"/>
      <c r="F107" s="113"/>
      <c r="G107" s="119"/>
      <c r="H107" s="119"/>
      <c r="J107" s="263"/>
    </row>
    <row r="108" spans="1:11" x14ac:dyDescent="0.35">
      <c r="A108" s="120" t="s">
        <v>144</v>
      </c>
      <c r="B108" s="121">
        <v>37.950000000000003</v>
      </c>
      <c r="C108" s="119"/>
      <c r="D108" s="113"/>
      <c r="E108" s="113"/>
      <c r="F108" s="113"/>
      <c r="G108" s="119"/>
      <c r="H108" s="119"/>
    </row>
    <row r="109" spans="1:11" x14ac:dyDescent="0.35">
      <c r="A109" s="120" t="s">
        <v>145</v>
      </c>
      <c r="B109" s="121">
        <f>26.66-G79</f>
        <v>17.96</v>
      </c>
      <c r="C109" s="119"/>
      <c r="D109" s="113"/>
      <c r="E109" s="113"/>
      <c r="F109" s="113"/>
      <c r="G109" s="119"/>
      <c r="H109" s="119"/>
      <c r="I109" s="218"/>
    </row>
    <row r="110" spans="1:11" s="81" customFormat="1" x14ac:dyDescent="0.35">
      <c r="A110" s="120" t="s">
        <v>146</v>
      </c>
      <c r="B110" s="121">
        <f>15.2-G76</f>
        <v>5.1999999999999993</v>
      </c>
      <c r="C110" s="121"/>
      <c r="D110" s="113"/>
      <c r="E110" s="113"/>
      <c r="F110" s="113"/>
      <c r="G110" s="119"/>
      <c r="H110" s="119"/>
      <c r="I110" s="218"/>
      <c r="J110" s="262"/>
    </row>
    <row r="111" spans="1:11" s="81" customFormat="1" x14ac:dyDescent="0.35">
      <c r="A111" s="120" t="s">
        <v>147</v>
      </c>
      <c r="B111" s="121">
        <v>21.34</v>
      </c>
      <c r="C111" s="121"/>
      <c r="D111" s="113"/>
      <c r="E111" s="113"/>
      <c r="F111" s="113"/>
      <c r="G111" s="119"/>
      <c r="H111" s="119"/>
      <c r="I111" s="218"/>
      <c r="J111" s="262"/>
    </row>
    <row r="112" spans="1:11" s="81" customFormat="1" x14ac:dyDescent="0.35">
      <c r="A112" s="120"/>
      <c r="B112" s="121"/>
      <c r="C112" s="119"/>
      <c r="D112" s="113"/>
      <c r="E112" s="113"/>
      <c r="F112" s="113"/>
      <c r="G112" s="119"/>
      <c r="H112" s="119"/>
      <c r="I112" s="218"/>
      <c r="J112" s="262"/>
      <c r="K112" s="417">
        <f>SUM(H113:H120)</f>
        <v>264751</v>
      </c>
    </row>
    <row r="113" spans="1:14" s="81" customFormat="1" x14ac:dyDescent="0.35">
      <c r="A113" s="436" t="s">
        <v>331</v>
      </c>
      <c r="B113" s="437">
        <v>700</v>
      </c>
      <c r="C113" s="438"/>
      <c r="D113" s="439">
        <v>3</v>
      </c>
      <c r="E113" s="437">
        <f t="shared" ref="E113:E118" si="34">B113*C113*D113</f>
        <v>0</v>
      </c>
      <c r="F113" s="440">
        <f t="shared" ref="F113:F118" si="35">E113</f>
        <v>0</v>
      </c>
      <c r="G113" s="441">
        <v>56.23</v>
      </c>
      <c r="H113" s="443">
        <f t="shared" ref="H113:H118" si="36">(G113*B113*D113)</f>
        <v>118083</v>
      </c>
      <c r="I113" s="217"/>
      <c r="K113" s="591" t="s">
        <v>332</v>
      </c>
    </row>
    <row r="114" spans="1:14" s="81" customFormat="1" x14ac:dyDescent="0.35">
      <c r="A114" s="436" t="s">
        <v>139</v>
      </c>
      <c r="B114" s="437">
        <v>250</v>
      </c>
      <c r="C114" s="438"/>
      <c r="D114" s="439">
        <v>1</v>
      </c>
      <c r="E114" s="437">
        <f t="shared" si="34"/>
        <v>0</v>
      </c>
      <c r="F114" s="440">
        <f t="shared" si="35"/>
        <v>0</v>
      </c>
      <c r="G114" s="438">
        <f>G113</f>
        <v>56.23</v>
      </c>
      <c r="H114" s="443">
        <f t="shared" si="36"/>
        <v>14057.5</v>
      </c>
      <c r="I114" s="217"/>
      <c r="K114" s="591"/>
    </row>
    <row r="115" spans="1:14" s="81" customFormat="1" x14ac:dyDescent="0.35">
      <c r="A115" s="436" t="s">
        <v>331</v>
      </c>
      <c r="B115" s="437">
        <v>700</v>
      </c>
      <c r="C115" s="438"/>
      <c r="D115" s="439">
        <v>3</v>
      </c>
      <c r="E115" s="437">
        <f t="shared" si="34"/>
        <v>0</v>
      </c>
      <c r="F115" s="440">
        <f t="shared" si="35"/>
        <v>0</v>
      </c>
      <c r="G115" s="441">
        <v>21.53</v>
      </c>
      <c r="H115" s="422">
        <f t="shared" si="36"/>
        <v>45213</v>
      </c>
      <c r="I115" s="217"/>
      <c r="K115" s="590" t="s">
        <v>334</v>
      </c>
      <c r="L115" s="512">
        <f>SUM(G115:G120)/2</f>
        <v>56.430000000000007</v>
      </c>
    </row>
    <row r="116" spans="1:14" s="81" customFormat="1" x14ac:dyDescent="0.35">
      <c r="A116" s="436" t="s">
        <v>139</v>
      </c>
      <c r="B116" s="437">
        <v>250</v>
      </c>
      <c r="C116" s="438"/>
      <c r="D116" s="439">
        <v>1</v>
      </c>
      <c r="E116" s="437">
        <f t="shared" si="34"/>
        <v>0</v>
      </c>
      <c r="F116" s="440">
        <f t="shared" si="35"/>
        <v>0</v>
      </c>
      <c r="G116" s="438">
        <f>G115</f>
        <v>21.53</v>
      </c>
      <c r="H116" s="422">
        <f t="shared" si="36"/>
        <v>5382.5</v>
      </c>
      <c r="I116" s="217"/>
      <c r="K116" s="590"/>
    </row>
    <row r="117" spans="1:14" s="81" customFormat="1" x14ac:dyDescent="0.35">
      <c r="A117" s="436" t="s">
        <v>331</v>
      </c>
      <c r="B117" s="437">
        <v>700</v>
      </c>
      <c r="C117" s="438"/>
      <c r="D117" s="439">
        <v>3</v>
      </c>
      <c r="E117" s="437">
        <f t="shared" si="34"/>
        <v>0</v>
      </c>
      <c r="F117" s="440">
        <f t="shared" si="35"/>
        <v>0</v>
      </c>
      <c r="G117" s="441">
        <v>6.59</v>
      </c>
      <c r="H117" s="422">
        <f t="shared" si="36"/>
        <v>13839</v>
      </c>
      <c r="I117" s="217"/>
      <c r="K117" s="590" t="s">
        <v>335</v>
      </c>
    </row>
    <row r="118" spans="1:14" s="81" customFormat="1" x14ac:dyDescent="0.35">
      <c r="A118" s="436" t="s">
        <v>139</v>
      </c>
      <c r="B118" s="437">
        <v>250</v>
      </c>
      <c r="C118" s="438"/>
      <c r="D118" s="439">
        <v>1</v>
      </c>
      <c r="E118" s="437">
        <f t="shared" si="34"/>
        <v>0</v>
      </c>
      <c r="F118" s="440">
        <f t="shared" si="35"/>
        <v>0</v>
      </c>
      <c r="G118" s="438">
        <f>G117</f>
        <v>6.59</v>
      </c>
      <c r="H118" s="422">
        <f t="shared" si="36"/>
        <v>1647.5</v>
      </c>
      <c r="I118" s="217"/>
      <c r="K118" s="590"/>
    </row>
    <row r="119" spans="1:14" s="81" customFormat="1" x14ac:dyDescent="0.35">
      <c r="A119" s="436" t="s">
        <v>331</v>
      </c>
      <c r="B119" s="437">
        <v>700</v>
      </c>
      <c r="C119" s="438"/>
      <c r="D119" s="439">
        <v>3</v>
      </c>
      <c r="E119" s="437">
        <f t="shared" ref="E119:E120" si="37">B119*C119*D119</f>
        <v>0</v>
      </c>
      <c r="F119" s="440">
        <f t="shared" ref="F119:F120" si="38">E119</f>
        <v>0</v>
      </c>
      <c r="G119" s="441">
        <v>28.31</v>
      </c>
      <c r="H119" s="468">
        <f t="shared" ref="H119:H120" si="39">(G119*B119*D119)</f>
        <v>59451</v>
      </c>
      <c r="I119" s="217"/>
      <c r="K119" s="589" t="s">
        <v>345</v>
      </c>
    </row>
    <row r="120" spans="1:14" s="81" customFormat="1" x14ac:dyDescent="0.35">
      <c r="A120" s="436" t="s">
        <v>139</v>
      </c>
      <c r="B120" s="437">
        <v>250</v>
      </c>
      <c r="C120" s="438"/>
      <c r="D120" s="439">
        <v>1</v>
      </c>
      <c r="E120" s="437">
        <f t="shared" si="37"/>
        <v>0</v>
      </c>
      <c r="F120" s="440">
        <f t="shared" si="38"/>
        <v>0</v>
      </c>
      <c r="G120" s="438">
        <f>G119</f>
        <v>28.31</v>
      </c>
      <c r="H120" s="468">
        <f t="shared" si="39"/>
        <v>7077.5</v>
      </c>
      <c r="I120" s="217"/>
      <c r="K120" s="589"/>
    </row>
    <row r="121" spans="1:14" s="81" customFormat="1" x14ac:dyDescent="0.35">
      <c r="A121" s="120"/>
      <c r="B121" s="41"/>
      <c r="C121" s="119"/>
      <c r="D121" s="113"/>
      <c r="E121" s="113"/>
      <c r="F121" s="113"/>
      <c r="G121" s="119"/>
      <c r="H121" s="119"/>
      <c r="I121" s="218"/>
      <c r="J121" s="262"/>
    </row>
    <row r="122" spans="1:14" x14ac:dyDescent="0.35">
      <c r="A122" s="40" t="s">
        <v>148</v>
      </c>
      <c r="B122" s="159">
        <v>3900</v>
      </c>
      <c r="C122" s="124"/>
      <c r="D122" s="74">
        <v>1</v>
      </c>
      <c r="E122" s="38">
        <f>B122*C122*D122</f>
        <v>0</v>
      </c>
      <c r="F122" s="60">
        <f>E122</f>
        <v>0</v>
      </c>
      <c r="G122" s="124">
        <f>C122</f>
        <v>0</v>
      </c>
      <c r="J122" s="263"/>
    </row>
    <row r="123" spans="1:14" s="81" customFormat="1" x14ac:dyDescent="0.35">
      <c r="A123" s="40" t="s">
        <v>149</v>
      </c>
      <c r="B123" s="38"/>
      <c r="C123" s="97"/>
      <c r="D123" s="74">
        <v>1</v>
      </c>
      <c r="E123" s="38">
        <f>B123*C123*D123</f>
        <v>0</v>
      </c>
      <c r="F123" s="59">
        <f>E123</f>
        <v>0</v>
      </c>
      <c r="G123" s="97">
        <f>C123</f>
        <v>0</v>
      </c>
      <c r="I123" s="217"/>
      <c r="J123" s="263">
        <f>(G123*B123*D123)</f>
        <v>0</v>
      </c>
    </row>
    <row r="124" spans="1:14" s="81" customFormat="1" x14ac:dyDescent="0.35">
      <c r="A124" s="40" t="s">
        <v>150</v>
      </c>
      <c r="B124" s="38"/>
      <c r="C124" s="97"/>
      <c r="D124" s="74">
        <v>1</v>
      </c>
      <c r="E124" s="38">
        <f>B124*C124*D124</f>
        <v>0</v>
      </c>
      <c r="F124" s="59">
        <f>E124</f>
        <v>0</v>
      </c>
      <c r="G124" s="97">
        <f>C124</f>
        <v>0</v>
      </c>
      <c r="I124" s="217"/>
      <c r="J124" s="263">
        <f>(G124*B124*D124)</f>
        <v>0</v>
      </c>
    </row>
    <row r="125" spans="1:14" s="81" customFormat="1" collapsed="1" x14ac:dyDescent="0.35">
      <c r="A125" s="120"/>
      <c r="B125" s="121"/>
      <c r="C125" s="119"/>
      <c r="D125" s="113"/>
      <c r="E125" s="113"/>
      <c r="F125" s="113"/>
      <c r="G125" s="119"/>
      <c r="H125" s="119"/>
      <c r="I125" s="218"/>
      <c r="J125" s="262"/>
    </row>
    <row r="126" spans="1:14" ht="63.75" customHeight="1" thickBot="1" x14ac:dyDescent="0.7">
      <c r="A126" s="163" t="s">
        <v>16</v>
      </c>
      <c r="B126" s="17" t="s">
        <v>55</v>
      </c>
      <c r="C126" s="406" t="s">
        <v>151</v>
      </c>
      <c r="D126" s="17"/>
      <c r="E126" s="9" t="s">
        <v>57</v>
      </c>
      <c r="F126" s="136" t="s">
        <v>58</v>
      </c>
      <c r="G126" s="83" t="s">
        <v>82</v>
      </c>
      <c r="K126" s="81"/>
      <c r="L126" s="81"/>
      <c r="M126" s="81"/>
      <c r="N126" s="81"/>
    </row>
    <row r="127" spans="1:14" ht="22.5" thickBot="1" x14ac:dyDescent="0.4">
      <c r="A127" s="54">
        <f>SUM(E128:E133)</f>
        <v>6500</v>
      </c>
      <c r="B127" s="56" t="s">
        <v>62</v>
      </c>
      <c r="C127" s="144" t="s">
        <v>63</v>
      </c>
      <c r="D127" s="56"/>
      <c r="E127" s="57">
        <f>SUM(E128:E130)</f>
        <v>0</v>
      </c>
      <c r="F127" s="177">
        <f>SUM(F128:F133)</f>
        <v>6500</v>
      </c>
      <c r="G127" s="265" t="s">
        <v>64</v>
      </c>
      <c r="H127" s="137">
        <f>SUM(H128:H133)</f>
        <v>9750</v>
      </c>
      <c r="K127" s="81"/>
      <c r="L127" s="81"/>
      <c r="M127" s="81"/>
      <c r="N127" s="81"/>
    </row>
    <row r="128" spans="1:14" x14ac:dyDescent="0.35">
      <c r="A128" s="40" t="s">
        <v>152</v>
      </c>
      <c r="B128" s="159">
        <v>2600</v>
      </c>
      <c r="C128" s="124"/>
      <c r="D128" s="44">
        <v>1</v>
      </c>
      <c r="E128" s="38">
        <f>B128*C128</f>
        <v>0</v>
      </c>
      <c r="F128" s="59">
        <f>E128</f>
        <v>0</v>
      </c>
      <c r="G128" s="124">
        <f>C128</f>
        <v>0</v>
      </c>
      <c r="H128" s="138"/>
      <c r="J128" s="263">
        <f t="shared" ref="J128:J133" si="40">(G128*B128*D128)</f>
        <v>0</v>
      </c>
      <c r="K128" s="81"/>
      <c r="L128" s="81"/>
      <c r="M128" s="81"/>
      <c r="N128" s="81"/>
    </row>
    <row r="129" spans="1:14" x14ac:dyDescent="0.35">
      <c r="A129" s="40" t="s">
        <v>153</v>
      </c>
      <c r="B129" s="159">
        <v>2340</v>
      </c>
      <c r="C129" s="152"/>
      <c r="D129" s="44">
        <v>1</v>
      </c>
      <c r="E129" s="38">
        <f>B129*C129</f>
        <v>0</v>
      </c>
      <c r="F129" s="59">
        <f>E129</f>
        <v>0</v>
      </c>
      <c r="G129" s="152">
        <f>C129</f>
        <v>0</v>
      </c>
      <c r="H129" s="138"/>
      <c r="J129" s="263">
        <f t="shared" si="40"/>
        <v>0</v>
      </c>
      <c r="K129" s="81"/>
      <c r="L129" s="81"/>
      <c r="M129" s="81"/>
      <c r="N129" s="81"/>
    </row>
    <row r="130" spans="1:14" x14ac:dyDescent="0.35">
      <c r="A130" s="40" t="s">
        <v>154</v>
      </c>
      <c r="B130" s="159">
        <v>5850</v>
      </c>
      <c r="C130" s="123"/>
      <c r="D130" s="44">
        <v>1</v>
      </c>
      <c r="E130" s="38">
        <f>B130*C130</f>
        <v>0</v>
      </c>
      <c r="F130" s="59">
        <f>E130</f>
        <v>0</v>
      </c>
      <c r="G130" s="123">
        <f>C130</f>
        <v>0</v>
      </c>
      <c r="H130" s="138"/>
      <c r="J130" s="263">
        <f t="shared" si="40"/>
        <v>0</v>
      </c>
      <c r="K130" s="81"/>
      <c r="L130" s="81"/>
      <c r="M130" s="81"/>
      <c r="N130" s="81"/>
    </row>
    <row r="131" spans="1:14" ht="31" x14ac:dyDescent="0.35">
      <c r="A131" s="40" t="s">
        <v>155</v>
      </c>
      <c r="B131" s="159">
        <v>9100</v>
      </c>
      <c r="C131" s="97"/>
      <c r="D131" s="44">
        <v>1</v>
      </c>
      <c r="E131" s="38">
        <f>B130*C131</f>
        <v>0</v>
      </c>
      <c r="F131" s="59">
        <f>E131</f>
        <v>0</v>
      </c>
      <c r="G131" s="97">
        <f>C131</f>
        <v>0</v>
      </c>
      <c r="H131" s="138"/>
      <c r="J131" s="263">
        <f t="shared" si="40"/>
        <v>0</v>
      </c>
      <c r="K131" s="81"/>
      <c r="L131" s="81"/>
      <c r="M131" s="81"/>
      <c r="N131" s="81"/>
    </row>
    <row r="132" spans="1:14" x14ac:dyDescent="0.35">
      <c r="A132" s="40" t="s">
        <v>156</v>
      </c>
      <c r="B132" s="159">
        <v>650</v>
      </c>
      <c r="C132" s="124">
        <v>10</v>
      </c>
      <c r="D132" s="44">
        <v>1</v>
      </c>
      <c r="E132" s="38">
        <f>B132*C132</f>
        <v>6500</v>
      </c>
      <c r="F132" s="59">
        <f>E132</f>
        <v>6500</v>
      </c>
      <c r="G132" s="530">
        <v>15</v>
      </c>
      <c r="H132" s="531">
        <f>(G132*B132*D132)</f>
        <v>9750</v>
      </c>
      <c r="K132" s="81"/>
      <c r="L132" s="81"/>
      <c r="M132" s="81"/>
      <c r="N132" s="81"/>
    </row>
    <row r="133" spans="1:14" x14ac:dyDescent="0.35">
      <c r="A133" s="113"/>
      <c r="B133" s="159"/>
      <c r="C133" s="149"/>
      <c r="D133" s="117"/>
      <c r="E133" s="41"/>
      <c r="F133" s="41"/>
      <c r="G133" s="112"/>
      <c r="H133" s="138"/>
      <c r="J133" s="263">
        <f t="shared" si="40"/>
        <v>0</v>
      </c>
      <c r="K133" s="81"/>
      <c r="L133" s="81"/>
      <c r="M133" s="81"/>
      <c r="N133" s="81"/>
    </row>
    <row r="134" spans="1:14" ht="81.650000000000006" customHeight="1" thickBot="1" x14ac:dyDescent="0.7">
      <c r="A134" s="163" t="s">
        <v>17</v>
      </c>
      <c r="B134" s="17" t="s">
        <v>55</v>
      </c>
      <c r="C134" s="145" t="s">
        <v>91</v>
      </c>
      <c r="D134" s="17"/>
      <c r="E134" s="9" t="s">
        <v>57</v>
      </c>
      <c r="F134" s="136" t="s">
        <v>157</v>
      </c>
      <c r="G134" s="83" t="s">
        <v>82</v>
      </c>
      <c r="K134" s="81"/>
      <c r="L134" s="81"/>
      <c r="M134" s="81"/>
      <c r="N134" s="81"/>
    </row>
    <row r="135" spans="1:14" ht="22.5" thickBot="1" x14ac:dyDescent="0.4">
      <c r="A135" s="54">
        <f>SUM(E136:E140)</f>
        <v>174000</v>
      </c>
      <c r="B135" s="56" t="s">
        <v>62</v>
      </c>
      <c r="C135" s="144" t="s">
        <v>63</v>
      </c>
      <c r="D135" s="56"/>
      <c r="E135" s="57">
        <f>SUM(E136:E140)</f>
        <v>174000</v>
      </c>
      <c r="F135" s="177">
        <f>SUM(F136:F141)</f>
        <v>174000</v>
      </c>
      <c r="G135" s="265" t="s">
        <v>64</v>
      </c>
      <c r="H135" s="137">
        <f>SUM(H136:H145)</f>
        <v>368500</v>
      </c>
      <c r="K135" s="250"/>
      <c r="L135" s="81"/>
      <c r="M135" s="81"/>
      <c r="N135" s="81"/>
    </row>
    <row r="136" spans="1:14" s="81" customFormat="1" ht="77.5" x14ac:dyDescent="0.35">
      <c r="A136" s="40" t="s">
        <v>158</v>
      </c>
      <c r="B136" s="159">
        <v>3600</v>
      </c>
      <c r="C136" s="114">
        <v>20</v>
      </c>
      <c r="D136" s="44">
        <v>1</v>
      </c>
      <c r="E136" s="43">
        <f t="shared" ref="E136:E142" si="41">B136*C136</f>
        <v>72000</v>
      </c>
      <c r="F136" s="59">
        <f t="shared" ref="F136:F142" si="42">E136</f>
        <v>72000</v>
      </c>
      <c r="G136" s="570">
        <f>5+6+7+2</f>
        <v>20</v>
      </c>
      <c r="H136" s="531">
        <f t="shared" ref="H136:H145" si="43">(G136*B136*D136)</f>
        <v>72000</v>
      </c>
      <c r="I136" s="217"/>
      <c r="K136" s="250"/>
    </row>
    <row r="137" spans="1:14" s="257" customFormat="1" ht="91.25" customHeight="1" x14ac:dyDescent="0.35">
      <c r="A137" s="40" t="s">
        <v>159</v>
      </c>
      <c r="B137" s="159">
        <v>1500</v>
      </c>
      <c r="C137" s="102">
        <v>20</v>
      </c>
      <c r="D137" s="44">
        <v>1</v>
      </c>
      <c r="E137" s="43">
        <f t="shared" si="41"/>
        <v>30000</v>
      </c>
      <c r="F137" s="59">
        <f t="shared" si="42"/>
        <v>30000</v>
      </c>
      <c r="G137" s="570">
        <f>7+2+52</f>
        <v>61</v>
      </c>
      <c r="H137" s="531">
        <f t="shared" si="43"/>
        <v>91500</v>
      </c>
      <c r="I137" s="258"/>
      <c r="K137" s="250"/>
      <c r="L137" s="81"/>
      <c r="M137" s="81"/>
      <c r="N137" s="81"/>
    </row>
    <row r="138" spans="1:14" ht="93" x14ac:dyDescent="0.35">
      <c r="A138" s="40" t="s">
        <v>160</v>
      </c>
      <c r="B138" s="159">
        <v>24000</v>
      </c>
      <c r="C138" s="224">
        <v>3</v>
      </c>
      <c r="D138" s="44">
        <v>1</v>
      </c>
      <c r="E138" s="43">
        <f t="shared" si="41"/>
        <v>72000</v>
      </c>
      <c r="F138" s="59">
        <f t="shared" si="42"/>
        <v>72000</v>
      </c>
      <c r="G138" s="571">
        <v>2</v>
      </c>
      <c r="H138" s="263">
        <f t="shared" si="43"/>
        <v>48000</v>
      </c>
      <c r="K138" s="250"/>
      <c r="L138" s="81"/>
      <c r="M138" s="81"/>
      <c r="N138" s="81"/>
    </row>
    <row r="139" spans="1:14" ht="15" customHeight="1" x14ac:dyDescent="0.35">
      <c r="A139" s="40" t="s">
        <v>361</v>
      </c>
      <c r="B139" s="159">
        <v>30000</v>
      </c>
      <c r="C139" s="102"/>
      <c r="D139" s="44">
        <v>1</v>
      </c>
      <c r="E139" s="38">
        <f t="shared" si="41"/>
        <v>0</v>
      </c>
      <c r="F139" s="59">
        <f t="shared" si="42"/>
        <v>0</v>
      </c>
      <c r="G139" s="492">
        <v>1</v>
      </c>
      <c r="H139" s="491">
        <f t="shared" si="43"/>
        <v>30000</v>
      </c>
      <c r="K139" s="81"/>
      <c r="L139" s="81"/>
      <c r="M139" s="81"/>
      <c r="N139" s="81"/>
    </row>
    <row r="140" spans="1:14" ht="15" customHeight="1" x14ac:dyDescent="0.35">
      <c r="A140" s="40" t="s">
        <v>161</v>
      </c>
      <c r="B140" s="159">
        <v>35000</v>
      </c>
      <c r="C140" s="102"/>
      <c r="D140" s="44">
        <v>1</v>
      </c>
      <c r="E140" s="38">
        <f t="shared" si="41"/>
        <v>0</v>
      </c>
      <c r="F140" s="59">
        <f t="shared" si="42"/>
        <v>0</v>
      </c>
      <c r="G140" s="480">
        <v>1</v>
      </c>
      <c r="H140" s="477">
        <f t="shared" si="43"/>
        <v>35000</v>
      </c>
      <c r="K140" s="81"/>
    </row>
    <row r="141" spans="1:14" x14ac:dyDescent="0.35">
      <c r="A141" s="40" t="s">
        <v>362</v>
      </c>
      <c r="B141" s="159">
        <v>15000</v>
      </c>
      <c r="C141" s="102"/>
      <c r="D141" s="44">
        <v>1</v>
      </c>
      <c r="E141" s="38">
        <f t="shared" si="41"/>
        <v>0</v>
      </c>
      <c r="F141" s="59">
        <f t="shared" si="42"/>
        <v>0</v>
      </c>
      <c r="G141" s="492">
        <v>1</v>
      </c>
      <c r="H141" s="491">
        <f t="shared" si="43"/>
        <v>15000</v>
      </c>
      <c r="K141" s="81"/>
    </row>
    <row r="142" spans="1:14" x14ac:dyDescent="0.35">
      <c r="A142" s="40" t="s">
        <v>375</v>
      </c>
      <c r="B142" s="159">
        <v>15000</v>
      </c>
      <c r="C142" s="102"/>
      <c r="D142" s="44">
        <v>1</v>
      </c>
      <c r="E142" s="38">
        <f t="shared" si="41"/>
        <v>0</v>
      </c>
      <c r="F142" s="59">
        <f t="shared" si="42"/>
        <v>0</v>
      </c>
      <c r="G142" s="541">
        <v>2</v>
      </c>
      <c r="H142" s="542">
        <f t="shared" si="43"/>
        <v>30000</v>
      </c>
      <c r="K142" s="81"/>
    </row>
    <row r="143" spans="1:14" x14ac:dyDescent="0.35">
      <c r="A143" s="40" t="s">
        <v>376</v>
      </c>
      <c r="B143" s="159">
        <v>6000</v>
      </c>
      <c r="C143" s="102"/>
      <c r="D143" s="44">
        <v>1</v>
      </c>
      <c r="E143" s="38">
        <f t="shared" ref="E143:E144" si="44">B143*C143</f>
        <v>0</v>
      </c>
      <c r="F143" s="59">
        <f t="shared" ref="F143:F144" si="45">E143</f>
        <v>0</v>
      </c>
      <c r="G143" s="541">
        <v>2</v>
      </c>
      <c r="H143" s="542">
        <f t="shared" si="43"/>
        <v>12000</v>
      </c>
      <c r="K143" s="81"/>
    </row>
    <row r="144" spans="1:14" x14ac:dyDescent="0.35">
      <c r="A144" s="40" t="s">
        <v>381</v>
      </c>
      <c r="B144" s="159">
        <v>20000</v>
      </c>
      <c r="C144" s="102"/>
      <c r="D144" s="44">
        <v>1</v>
      </c>
      <c r="E144" s="38">
        <f t="shared" si="44"/>
        <v>0</v>
      </c>
      <c r="F144" s="59">
        <f t="shared" si="45"/>
        <v>0</v>
      </c>
      <c r="G144" s="574">
        <v>1</v>
      </c>
      <c r="H144" s="575">
        <f t="shared" si="43"/>
        <v>20000</v>
      </c>
      <c r="I144" s="542">
        <f>(H144*C144*E144)</f>
        <v>0</v>
      </c>
      <c r="K144" s="81"/>
    </row>
    <row r="145" spans="1:11" x14ac:dyDescent="0.35">
      <c r="A145" s="40" t="s">
        <v>380</v>
      </c>
      <c r="B145" s="159">
        <v>15000</v>
      </c>
      <c r="C145" s="102"/>
      <c r="D145" s="44">
        <v>1</v>
      </c>
      <c r="E145" s="38">
        <f t="shared" ref="E145" si="46">B145*C145</f>
        <v>0</v>
      </c>
      <c r="F145" s="59">
        <f t="shared" ref="F145" si="47">E145</f>
        <v>0</v>
      </c>
      <c r="G145" s="559">
        <v>1</v>
      </c>
      <c r="H145" s="560">
        <f t="shared" si="43"/>
        <v>15000</v>
      </c>
      <c r="I145" s="542">
        <f>(H145*C145*E145)</f>
        <v>0</v>
      </c>
      <c r="K145" s="81"/>
    </row>
    <row r="146" spans="1:11" ht="63.75" customHeight="1" thickBot="1" x14ac:dyDescent="0.7">
      <c r="A146" s="163" t="s">
        <v>18</v>
      </c>
      <c r="B146" s="17" t="s">
        <v>55</v>
      </c>
      <c r="C146" s="145" t="s">
        <v>91</v>
      </c>
      <c r="D146" s="17"/>
      <c r="E146" s="9" t="s">
        <v>57</v>
      </c>
      <c r="F146" s="136" t="s">
        <v>157</v>
      </c>
      <c r="G146" s="83" t="s">
        <v>82</v>
      </c>
      <c r="K146" s="81"/>
    </row>
    <row r="147" spans="1:11" ht="22.5" thickBot="1" x14ac:dyDescent="0.4">
      <c r="A147" s="54">
        <f>SUM(E148:E149)</f>
        <v>0</v>
      </c>
      <c r="B147" s="56" t="s">
        <v>62</v>
      </c>
      <c r="C147" s="144" t="s">
        <v>63</v>
      </c>
      <c r="D147" s="56"/>
      <c r="E147" s="57">
        <f>SUM(E148:E149)</f>
        <v>0</v>
      </c>
      <c r="F147" s="177">
        <f>SUM(F148:F149)</f>
        <v>0</v>
      </c>
      <c r="G147" s="265" t="s">
        <v>64</v>
      </c>
      <c r="H147" s="137">
        <f>SUM(H148:H149)</f>
        <v>0</v>
      </c>
      <c r="K147" s="81"/>
    </row>
    <row r="148" spans="1:11" ht="46.5" hidden="1" outlineLevel="1" x14ac:dyDescent="0.35">
      <c r="A148" s="42" t="s">
        <v>162</v>
      </c>
      <c r="B148" s="159">
        <v>19500</v>
      </c>
      <c r="C148" s="122"/>
      <c r="D148" s="44">
        <v>1</v>
      </c>
      <c r="E148" s="43">
        <f>B148*C148</f>
        <v>0</v>
      </c>
      <c r="F148" s="59">
        <f>E148</f>
        <v>0</v>
      </c>
      <c r="G148" s="122">
        <f>C148</f>
        <v>0</v>
      </c>
      <c r="H148" s="138"/>
      <c r="J148" s="263">
        <f>(G148*B148*D148)</f>
        <v>0</v>
      </c>
      <c r="K148" s="81"/>
    </row>
    <row r="149" spans="1:11" ht="49.25" hidden="1" customHeight="1" outlineLevel="1" x14ac:dyDescent="0.35">
      <c r="A149" s="40" t="s">
        <v>163</v>
      </c>
      <c r="B149" s="159">
        <v>0</v>
      </c>
      <c r="C149" s="102"/>
      <c r="D149" s="44">
        <v>1</v>
      </c>
      <c r="E149" s="43">
        <f>B149*C149</f>
        <v>0</v>
      </c>
      <c r="F149" s="59">
        <f>E149*0.85</f>
        <v>0</v>
      </c>
      <c r="G149" s="102">
        <f>C149</f>
        <v>0</v>
      </c>
      <c r="H149" s="138">
        <f>(G149*B149*D149)*0.85</f>
        <v>0</v>
      </c>
      <c r="K149" s="81"/>
    </row>
    <row r="150" spans="1:11" ht="87" customHeight="1" collapsed="1" thickBot="1" x14ac:dyDescent="0.7">
      <c r="A150" s="163" t="s">
        <v>164</v>
      </c>
      <c r="B150" s="17" t="s">
        <v>55</v>
      </c>
      <c r="C150" s="145" t="s">
        <v>91</v>
      </c>
      <c r="D150" s="17"/>
      <c r="E150" s="9" t="s">
        <v>57</v>
      </c>
      <c r="F150" s="136" t="s">
        <v>157</v>
      </c>
      <c r="G150" s="83" t="s">
        <v>82</v>
      </c>
      <c r="K150" s="81"/>
    </row>
    <row r="151" spans="1:11" ht="22.5" thickBot="1" x14ac:dyDescent="0.4">
      <c r="A151" s="54">
        <f>SUM(E152:E155)</f>
        <v>0</v>
      </c>
      <c r="B151" s="56" t="s">
        <v>62</v>
      </c>
      <c r="C151" s="144" t="s">
        <v>63</v>
      </c>
      <c r="D151" s="56"/>
      <c r="E151" s="57">
        <f>SUM(E152:E152)</f>
        <v>0</v>
      </c>
      <c r="F151" s="177">
        <f>SUM(F152:F153)</f>
        <v>0</v>
      </c>
      <c r="G151" s="265" t="s">
        <v>64</v>
      </c>
      <c r="H151" s="137">
        <f>SUM(H152:H155)</f>
        <v>0</v>
      </c>
      <c r="K151" s="81"/>
    </row>
    <row r="152" spans="1:11" ht="31" hidden="1" outlineLevel="1" x14ac:dyDescent="0.35">
      <c r="A152" s="40" t="s">
        <v>165</v>
      </c>
      <c r="B152" s="159">
        <v>13000</v>
      </c>
      <c r="C152" s="153"/>
      <c r="D152" s="44">
        <v>1</v>
      </c>
      <c r="E152" s="43">
        <f>B152*C152</f>
        <v>0</v>
      </c>
      <c r="F152" s="59">
        <f>E152</f>
        <v>0</v>
      </c>
      <c r="G152" s="114">
        <f>C152</f>
        <v>0</v>
      </c>
      <c r="H152" s="138"/>
      <c r="J152" s="263">
        <f>(G152*B152*D152)</f>
        <v>0</v>
      </c>
      <c r="K152" s="81"/>
    </row>
    <row r="153" spans="1:11" ht="31" hidden="1" outlineLevel="1" x14ac:dyDescent="0.35">
      <c r="A153" s="40" t="s">
        <v>166</v>
      </c>
      <c r="B153" s="159">
        <v>6500</v>
      </c>
      <c r="C153" s="102"/>
      <c r="D153" s="39">
        <v>1</v>
      </c>
      <c r="E153" s="38">
        <f>B153*C153</f>
        <v>0</v>
      </c>
      <c r="F153" s="59">
        <f>E153</f>
        <v>0</v>
      </c>
      <c r="G153" s="114">
        <f>C153</f>
        <v>0</v>
      </c>
      <c r="H153" s="138"/>
      <c r="J153" s="263">
        <f>(G153*B153*D153)</f>
        <v>0</v>
      </c>
      <c r="K153" s="81"/>
    </row>
    <row r="154" spans="1:11" ht="31" hidden="1" outlineLevel="1" x14ac:dyDescent="0.35">
      <c r="A154" s="40" t="s">
        <v>165</v>
      </c>
      <c r="B154" s="159">
        <v>10400</v>
      </c>
      <c r="C154" s="153"/>
      <c r="D154" s="39">
        <v>1</v>
      </c>
      <c r="E154" s="38">
        <f>B154*C154</f>
        <v>0</v>
      </c>
      <c r="F154" s="59">
        <f>E154*0.85</f>
        <v>0</v>
      </c>
      <c r="G154" s="111"/>
      <c r="H154" s="138">
        <f>(G154*B154*D154)*0.85</f>
        <v>0</v>
      </c>
      <c r="K154" s="81"/>
    </row>
    <row r="155" spans="1:11" hidden="1" outlineLevel="1" x14ac:dyDescent="0.35">
      <c r="A155" s="40"/>
      <c r="B155" s="159">
        <v>0</v>
      </c>
      <c r="C155" s="150">
        <v>0</v>
      </c>
      <c r="D155" s="39">
        <v>1</v>
      </c>
      <c r="E155" s="38">
        <f>B155*C155</f>
        <v>0</v>
      </c>
      <c r="F155" s="59">
        <f>E155*0.85</f>
        <v>0</v>
      </c>
      <c r="G155" s="111"/>
      <c r="H155" s="138">
        <f>(G155*B155*D155)*0.85</f>
        <v>0</v>
      </c>
      <c r="K155" s="81"/>
    </row>
    <row r="156" spans="1:11" hidden="1" outlineLevel="1" collapsed="1" x14ac:dyDescent="0.35">
      <c r="A156" s="419"/>
      <c r="B156" s="81"/>
      <c r="D156" s="81"/>
      <c r="E156" s="81"/>
      <c r="F156" s="81"/>
      <c r="K156" s="81"/>
    </row>
    <row r="157" spans="1:11" ht="83.4" customHeight="1" collapsed="1" thickBot="1" x14ac:dyDescent="0.7">
      <c r="A157" s="163" t="s">
        <v>167</v>
      </c>
      <c r="B157" s="17" t="s">
        <v>55</v>
      </c>
      <c r="C157" s="145" t="s">
        <v>91</v>
      </c>
      <c r="D157" s="17"/>
      <c r="E157" s="9" t="s">
        <v>57</v>
      </c>
      <c r="F157" s="136" t="s">
        <v>157</v>
      </c>
      <c r="G157" s="83" t="s">
        <v>82</v>
      </c>
      <c r="J157" s="263"/>
      <c r="K157" s="81"/>
    </row>
    <row r="158" spans="1:11" ht="22.5" thickBot="1" x14ac:dyDescent="0.4">
      <c r="A158" s="54">
        <f>SUM(E159:E163)</f>
        <v>155349.5</v>
      </c>
      <c r="B158" s="56" t="s">
        <v>62</v>
      </c>
      <c r="C158" s="144" t="s">
        <v>63</v>
      </c>
      <c r="D158" s="56"/>
      <c r="E158" s="57">
        <f>SUM(E159:E162)</f>
        <v>155349.5</v>
      </c>
      <c r="F158" s="177">
        <f>SUM(F159:F161)</f>
        <v>95349.5</v>
      </c>
      <c r="G158" s="265" t="s">
        <v>64</v>
      </c>
      <c r="H158" s="137">
        <f>SUM(H159:H162)</f>
        <v>195000</v>
      </c>
      <c r="K158" s="81"/>
    </row>
    <row r="159" spans="1:11" x14ac:dyDescent="0.35">
      <c r="A159" s="42" t="s">
        <v>168</v>
      </c>
      <c r="B159" s="159">
        <v>13000</v>
      </c>
      <c r="C159" s="239">
        <f>P29</f>
        <v>5.297194444444445</v>
      </c>
      <c r="D159" s="44">
        <v>1</v>
      </c>
      <c r="E159" s="43">
        <f>B159*C159</f>
        <v>68863.527777777781</v>
      </c>
      <c r="F159" s="59">
        <f t="shared" ref="F159:F164" si="48">E159</f>
        <v>68863.527777777781</v>
      </c>
      <c r="G159" s="524">
        <f>4+1+2+0.5</f>
        <v>7.5</v>
      </c>
      <c r="H159" s="426">
        <f>(G159*B159*D159)</f>
        <v>97500</v>
      </c>
      <c r="K159" s="81"/>
    </row>
    <row r="160" spans="1:11" x14ac:dyDescent="0.35">
      <c r="A160" s="42" t="s">
        <v>169</v>
      </c>
      <c r="B160" s="159">
        <v>5000</v>
      </c>
      <c r="C160" s="239">
        <f>C159</f>
        <v>5.297194444444445</v>
      </c>
      <c r="D160" s="44">
        <v>1</v>
      </c>
      <c r="E160" s="43">
        <f>B160*C160</f>
        <v>26485.972222222226</v>
      </c>
      <c r="F160" s="59">
        <f t="shared" si="48"/>
        <v>26485.972222222226</v>
      </c>
      <c r="G160" s="524">
        <f>G159</f>
        <v>7.5</v>
      </c>
      <c r="H160" s="426">
        <f>(G160*B160*D160)</f>
        <v>37500</v>
      </c>
      <c r="K160" s="81"/>
    </row>
    <row r="161" spans="1:12" x14ac:dyDescent="0.35">
      <c r="A161" s="40" t="s">
        <v>170</v>
      </c>
      <c r="B161" s="159">
        <v>35000</v>
      </c>
      <c r="C161" s="102"/>
      <c r="D161" s="39">
        <v>1</v>
      </c>
      <c r="E161" s="38">
        <f>B161*C161</f>
        <v>0</v>
      </c>
      <c r="F161" s="59">
        <f t="shared" si="48"/>
        <v>0</v>
      </c>
      <c r="G161" s="102">
        <f>C161</f>
        <v>0</v>
      </c>
      <c r="J161" s="263">
        <f>(G161*B161*D161)</f>
        <v>0</v>
      </c>
      <c r="K161" s="81"/>
    </row>
    <row r="162" spans="1:12" x14ac:dyDescent="0.35">
      <c r="A162" s="273" t="s">
        <v>171</v>
      </c>
      <c r="B162" s="387">
        <v>20000</v>
      </c>
      <c r="C162" s="151">
        <v>3</v>
      </c>
      <c r="D162" s="39">
        <v>1</v>
      </c>
      <c r="E162" s="38">
        <f>B162*C162</f>
        <v>60000</v>
      </c>
      <c r="F162" s="59">
        <f t="shared" si="48"/>
        <v>60000</v>
      </c>
      <c r="G162" s="523">
        <v>3</v>
      </c>
      <c r="H162" s="468">
        <f>(G162*B162*D162)</f>
        <v>60000</v>
      </c>
      <c r="J162" s="37"/>
      <c r="K162" s="81"/>
    </row>
    <row r="163" spans="1:12" hidden="1" outlineLevel="1" x14ac:dyDescent="0.35">
      <c r="A163" s="40"/>
      <c r="B163" s="159">
        <v>0</v>
      </c>
      <c r="C163" s="151">
        <v>0</v>
      </c>
      <c r="D163" s="39"/>
      <c r="E163" s="38">
        <f>B163*C163</f>
        <v>0</v>
      </c>
      <c r="F163" s="59">
        <f t="shared" si="48"/>
        <v>0</v>
      </c>
      <c r="G163" s="111"/>
      <c r="J163" s="263">
        <f>(G163*B163*D163)*0.95</f>
        <v>0</v>
      </c>
      <c r="K163" s="81"/>
    </row>
    <row r="164" spans="1:12" hidden="1" outlineLevel="1" x14ac:dyDescent="0.35">
      <c r="A164" s="419"/>
      <c r="B164" s="81"/>
      <c r="D164" s="81"/>
      <c r="E164" s="81"/>
      <c r="F164" s="59">
        <f t="shared" si="48"/>
        <v>0</v>
      </c>
      <c r="J164" s="263">
        <f>(G164*B164*D164)*0.95</f>
        <v>0</v>
      </c>
      <c r="K164" s="81"/>
    </row>
    <row r="165" spans="1:12" ht="63.75" customHeight="1" collapsed="1" thickBot="1" x14ac:dyDescent="0.7">
      <c r="A165" s="163" t="s">
        <v>21</v>
      </c>
      <c r="B165" s="17" t="s">
        <v>55</v>
      </c>
      <c r="C165" s="145" t="s">
        <v>91</v>
      </c>
      <c r="D165" s="17"/>
      <c r="E165" s="9" t="s">
        <v>57</v>
      </c>
      <c r="F165" s="136" t="s">
        <v>58</v>
      </c>
      <c r="G165" s="83" t="s">
        <v>82</v>
      </c>
      <c r="K165" s="81"/>
    </row>
    <row r="166" spans="1:12" ht="22.5" thickBot="1" x14ac:dyDescent="0.4">
      <c r="A166" s="54">
        <f>SUM(E167:E181)</f>
        <v>94500</v>
      </c>
      <c r="B166" s="56" t="s">
        <v>62</v>
      </c>
      <c r="C166" s="144" t="s">
        <v>63</v>
      </c>
      <c r="D166" s="56"/>
      <c r="E166" s="57">
        <f>SUM(E167:E168)</f>
        <v>90000</v>
      </c>
      <c r="F166" s="177">
        <f>SUM(F167:F173)</f>
        <v>93825</v>
      </c>
      <c r="G166" s="265" t="s">
        <v>64</v>
      </c>
      <c r="H166" s="137">
        <f>SUM(H167:H184)</f>
        <v>357000</v>
      </c>
      <c r="K166" s="81"/>
    </row>
    <row r="167" spans="1:12" ht="31" x14ac:dyDescent="0.35">
      <c r="A167" s="42" t="s">
        <v>172</v>
      </c>
      <c r="B167" s="159">
        <v>40000</v>
      </c>
      <c r="C167" s="114">
        <v>1</v>
      </c>
      <c r="D167" s="39">
        <v>1</v>
      </c>
      <c r="E167" s="43">
        <f t="shared" ref="E167:E177" si="49">B167*C167</f>
        <v>40000</v>
      </c>
      <c r="F167" s="59">
        <f>E167</f>
        <v>40000</v>
      </c>
      <c r="G167" s="510">
        <f t="shared" ref="G167:G169" si="50">C167</f>
        <v>1</v>
      </c>
      <c r="H167" s="511">
        <f>(G167*B167*D167)</f>
        <v>40000</v>
      </c>
      <c r="K167" s="81"/>
    </row>
    <row r="168" spans="1:12" ht="31" x14ac:dyDescent="0.35">
      <c r="A168" s="40" t="s">
        <v>173</v>
      </c>
      <c r="B168" s="159">
        <v>50000</v>
      </c>
      <c r="C168" s="114">
        <v>1</v>
      </c>
      <c r="D168" s="39">
        <v>1</v>
      </c>
      <c r="E168" s="38">
        <f t="shared" si="49"/>
        <v>50000</v>
      </c>
      <c r="F168" s="59">
        <f>E168</f>
        <v>50000</v>
      </c>
      <c r="G168" s="114"/>
      <c r="J168" s="263">
        <f t="shared" ref="J168" si="51">(G168*B168*D168)</f>
        <v>0</v>
      </c>
      <c r="K168" s="81"/>
    </row>
    <row r="169" spans="1:12" ht="31" x14ac:dyDescent="0.35">
      <c r="A169" s="255" t="s">
        <v>174</v>
      </c>
      <c r="B169" s="159">
        <v>1500</v>
      </c>
      <c r="C169" s="114">
        <v>3</v>
      </c>
      <c r="D169" s="39">
        <v>1</v>
      </c>
      <c r="E169" s="38">
        <f t="shared" si="49"/>
        <v>4500</v>
      </c>
      <c r="F169" s="59">
        <f t="shared" ref="F169:F177" si="52">E169*0.85</f>
        <v>3825</v>
      </c>
      <c r="G169" s="572">
        <f t="shared" si="50"/>
        <v>3</v>
      </c>
      <c r="H169" s="573">
        <f>(G169*B169*D169)</f>
        <v>4500</v>
      </c>
      <c r="K169" s="81"/>
    </row>
    <row r="170" spans="1:12" x14ac:dyDescent="0.35">
      <c r="A170" s="449" t="s">
        <v>333</v>
      </c>
      <c r="B170" s="159">
        <v>25000</v>
      </c>
      <c r="C170" s="114"/>
      <c r="D170" s="39">
        <v>1</v>
      </c>
      <c r="E170" s="38">
        <f t="shared" si="49"/>
        <v>0</v>
      </c>
      <c r="F170" s="59">
        <f t="shared" si="52"/>
        <v>0</v>
      </c>
      <c r="G170" s="453">
        <v>2</v>
      </c>
      <c r="H170" s="450">
        <f t="shared" ref="H170:H177" si="53">(G170*B170*D170)</f>
        <v>50000</v>
      </c>
      <c r="K170" s="81"/>
    </row>
    <row r="171" spans="1:12" s="257" customFormat="1" x14ac:dyDescent="0.35">
      <c r="A171" s="229" t="s">
        <v>342</v>
      </c>
      <c r="B171" s="159">
        <v>8000</v>
      </c>
      <c r="C171" s="269"/>
      <c r="D171" s="268">
        <v>1</v>
      </c>
      <c r="E171" s="267">
        <f t="shared" ref="E171" si="54">B171*C171</f>
        <v>0</v>
      </c>
      <c r="F171" s="259">
        <f t="shared" ref="F171" si="55">E171*0.85</f>
        <v>0</v>
      </c>
      <c r="G171" s="122">
        <v>2</v>
      </c>
      <c r="H171" s="263">
        <f t="shared" si="53"/>
        <v>16000</v>
      </c>
      <c r="I171" s="258"/>
      <c r="K171" s="257" t="s">
        <v>175</v>
      </c>
    </row>
    <row r="172" spans="1:12" s="257" customFormat="1" x14ac:dyDescent="0.35">
      <c r="A172" s="229" t="s">
        <v>339</v>
      </c>
      <c r="B172" s="159">
        <v>1500</v>
      </c>
      <c r="C172" s="269"/>
      <c r="D172" s="268">
        <v>1</v>
      </c>
      <c r="E172" s="267">
        <f t="shared" si="49"/>
        <v>0</v>
      </c>
      <c r="F172" s="259">
        <f t="shared" si="52"/>
        <v>0</v>
      </c>
      <c r="G172" s="460">
        <f>3*5</f>
        <v>15</v>
      </c>
      <c r="H172" s="422">
        <f t="shared" si="53"/>
        <v>22500</v>
      </c>
      <c r="I172" s="258"/>
      <c r="K172" s="257" t="s">
        <v>175</v>
      </c>
    </row>
    <row r="173" spans="1:12" s="257" customFormat="1" x14ac:dyDescent="0.35">
      <c r="A173" s="471" t="s">
        <v>347</v>
      </c>
      <c r="B173" s="159">
        <v>8000</v>
      </c>
      <c r="C173" s="269"/>
      <c r="D173" s="268">
        <v>1</v>
      </c>
      <c r="E173" s="267">
        <f t="shared" si="49"/>
        <v>0</v>
      </c>
      <c r="F173" s="259">
        <f>+E173</f>
        <v>0</v>
      </c>
      <c r="G173" s="114">
        <v>1</v>
      </c>
      <c r="H173" s="263">
        <f t="shared" si="53"/>
        <v>8000</v>
      </c>
      <c r="I173" s="258"/>
    </row>
    <row r="174" spans="1:12" x14ac:dyDescent="0.35">
      <c r="A174" s="471" t="s">
        <v>348</v>
      </c>
      <c r="B174" s="159">
        <v>13000</v>
      </c>
      <c r="C174" s="114"/>
      <c r="D174" s="39">
        <v>1</v>
      </c>
      <c r="E174" s="38">
        <f t="shared" si="49"/>
        <v>0</v>
      </c>
      <c r="F174" s="59">
        <f t="shared" si="52"/>
        <v>0</v>
      </c>
      <c r="G174" s="114">
        <v>1</v>
      </c>
      <c r="H174" s="263">
        <f t="shared" si="53"/>
        <v>13000</v>
      </c>
      <c r="K174" s="241"/>
    </row>
    <row r="175" spans="1:12" x14ac:dyDescent="0.35">
      <c r="A175" s="471" t="s">
        <v>349</v>
      </c>
      <c r="B175" s="159">
        <v>20000</v>
      </c>
      <c r="C175" s="115"/>
      <c r="D175" s="39">
        <v>1</v>
      </c>
      <c r="E175" s="38">
        <f t="shared" si="49"/>
        <v>0</v>
      </c>
      <c r="F175" s="59">
        <f t="shared" si="52"/>
        <v>0</v>
      </c>
      <c r="G175" s="114">
        <v>1</v>
      </c>
      <c r="H175" s="263">
        <f t="shared" si="53"/>
        <v>20000</v>
      </c>
      <c r="K175" s="81"/>
    </row>
    <row r="176" spans="1:12" x14ac:dyDescent="0.35">
      <c r="A176" s="471" t="s">
        <v>350</v>
      </c>
      <c r="B176" s="159">
        <v>20000</v>
      </c>
      <c r="C176" s="114"/>
      <c r="D176" s="39">
        <v>1</v>
      </c>
      <c r="E176" s="38">
        <f t="shared" si="49"/>
        <v>0</v>
      </c>
      <c r="F176" s="59">
        <f t="shared" si="52"/>
        <v>0</v>
      </c>
      <c r="G176" s="114">
        <v>1</v>
      </c>
      <c r="H176" s="263">
        <f t="shared" si="53"/>
        <v>20000</v>
      </c>
      <c r="K176" s="81"/>
      <c r="L176" s="81"/>
    </row>
    <row r="177" spans="1:12" x14ac:dyDescent="0.35">
      <c r="A177" s="471" t="s">
        <v>351</v>
      </c>
      <c r="B177" s="159">
        <v>30000</v>
      </c>
      <c r="C177" s="114"/>
      <c r="D177" s="39">
        <v>1</v>
      </c>
      <c r="E177" s="38">
        <f t="shared" si="49"/>
        <v>0</v>
      </c>
      <c r="F177" s="59">
        <f t="shared" si="52"/>
        <v>0</v>
      </c>
      <c r="G177" s="114">
        <v>1</v>
      </c>
      <c r="H177" s="477">
        <f t="shared" si="53"/>
        <v>30000</v>
      </c>
      <c r="K177" s="81"/>
      <c r="L177" s="81"/>
    </row>
    <row r="178" spans="1:12" x14ac:dyDescent="0.35">
      <c r="A178" s="471" t="s">
        <v>352</v>
      </c>
      <c r="B178" s="159">
        <v>15000</v>
      </c>
      <c r="C178" s="114"/>
      <c r="D178" s="39">
        <v>1</v>
      </c>
      <c r="E178" s="38"/>
      <c r="F178" s="59"/>
      <c r="G178" s="493">
        <v>1</v>
      </c>
      <c r="H178" s="491">
        <f t="shared" ref="H178:H183" si="56">(G178*B178*D178)</f>
        <v>15000</v>
      </c>
      <c r="K178" s="81"/>
      <c r="L178" s="81"/>
    </row>
    <row r="179" spans="1:12" x14ac:dyDescent="0.35">
      <c r="A179" s="479" t="s">
        <v>355</v>
      </c>
      <c r="B179" s="43">
        <v>20000</v>
      </c>
      <c r="C179" s="114"/>
      <c r="D179" s="39">
        <v>1</v>
      </c>
      <c r="E179" s="38"/>
      <c r="F179" s="59"/>
      <c r="G179" s="478">
        <v>1</v>
      </c>
      <c r="H179" s="263">
        <f t="shared" si="56"/>
        <v>20000</v>
      </c>
      <c r="K179" s="81"/>
      <c r="L179" s="81"/>
    </row>
    <row r="180" spans="1:12" x14ac:dyDescent="0.35">
      <c r="A180" s="479" t="s">
        <v>356</v>
      </c>
      <c r="B180" s="43">
        <v>20000</v>
      </c>
      <c r="C180" s="114"/>
      <c r="D180" s="39">
        <v>1</v>
      </c>
      <c r="E180" s="38"/>
      <c r="F180" s="59"/>
      <c r="G180" s="478">
        <v>1</v>
      </c>
      <c r="H180" s="263">
        <f t="shared" si="56"/>
        <v>20000</v>
      </c>
      <c r="J180" s="263"/>
      <c r="K180" s="81"/>
      <c r="L180" s="81"/>
    </row>
    <row r="181" spans="1:12" outlineLevel="1" x14ac:dyDescent="0.35">
      <c r="A181" s="519" t="s">
        <v>371</v>
      </c>
      <c r="B181" s="43">
        <v>20000</v>
      </c>
      <c r="C181" s="114"/>
      <c r="D181" s="39">
        <v>1</v>
      </c>
      <c r="E181" s="38"/>
      <c r="F181" s="59"/>
      <c r="G181" s="510">
        <v>1</v>
      </c>
      <c r="H181" s="511">
        <f t="shared" si="56"/>
        <v>20000</v>
      </c>
      <c r="K181" s="81"/>
      <c r="L181" s="81"/>
    </row>
    <row r="182" spans="1:12" outlineLevel="1" x14ac:dyDescent="0.35">
      <c r="A182" s="519" t="s">
        <v>372</v>
      </c>
      <c r="B182" s="43">
        <v>20000</v>
      </c>
      <c r="C182" s="114"/>
      <c r="D182" s="39">
        <v>1</v>
      </c>
      <c r="E182" s="38"/>
      <c r="F182" s="59"/>
      <c r="G182" s="525">
        <v>1</v>
      </c>
      <c r="H182" s="521">
        <f t="shared" si="56"/>
        <v>20000</v>
      </c>
      <c r="K182" s="81"/>
      <c r="L182" s="81"/>
    </row>
    <row r="183" spans="1:12" outlineLevel="1" x14ac:dyDescent="0.35">
      <c r="A183" s="40" t="s">
        <v>373</v>
      </c>
      <c r="B183" s="43">
        <v>30000</v>
      </c>
      <c r="C183" s="114"/>
      <c r="D183" s="39">
        <v>1</v>
      </c>
      <c r="E183" s="38"/>
      <c r="F183" s="59"/>
      <c r="G183" s="532">
        <v>1</v>
      </c>
      <c r="H183" s="531">
        <f t="shared" si="56"/>
        <v>30000</v>
      </c>
      <c r="K183" s="81"/>
      <c r="L183" s="81"/>
    </row>
    <row r="184" spans="1:12" ht="31" outlineLevel="1" x14ac:dyDescent="0.35">
      <c r="A184" s="40" t="s">
        <v>382</v>
      </c>
      <c r="B184" s="43">
        <v>8000</v>
      </c>
      <c r="C184" s="114"/>
      <c r="D184" s="39">
        <v>1</v>
      </c>
      <c r="E184" s="38"/>
      <c r="F184" s="59"/>
      <c r="G184" s="543">
        <v>1</v>
      </c>
      <c r="H184" s="542">
        <f t="shared" ref="H184" si="57">(G184*B184*D184)</f>
        <v>8000</v>
      </c>
      <c r="K184" s="81"/>
      <c r="L184" s="81"/>
    </row>
    <row r="185" spans="1:12" ht="95.4" customHeight="1" thickBot="1" x14ac:dyDescent="0.7">
      <c r="A185" s="163" t="s">
        <v>176</v>
      </c>
      <c r="B185" s="17" t="s">
        <v>55</v>
      </c>
      <c r="C185" s="145" t="s">
        <v>91</v>
      </c>
      <c r="D185" s="17"/>
      <c r="E185" s="9" t="s">
        <v>57</v>
      </c>
      <c r="F185" s="136" t="s">
        <v>58</v>
      </c>
      <c r="G185" s="83" t="s">
        <v>82</v>
      </c>
      <c r="K185" s="81"/>
      <c r="L185" s="81"/>
    </row>
    <row r="186" spans="1:12" ht="22.5" thickBot="1" x14ac:dyDescent="0.4">
      <c r="A186" s="54">
        <f>SUM(E187:E201)</f>
        <v>117000</v>
      </c>
      <c r="B186" s="56" t="s">
        <v>62</v>
      </c>
      <c r="C186" s="144" t="s">
        <v>63</v>
      </c>
      <c r="D186" s="56"/>
      <c r="E186" s="57">
        <f>SUM(E187:E201)</f>
        <v>117000</v>
      </c>
      <c r="F186" s="177">
        <f>SUM(F187:F202)</f>
        <v>117000</v>
      </c>
      <c r="G186" s="265" t="s">
        <v>64</v>
      </c>
      <c r="H186" s="137">
        <f>SUM(H187:H201)</f>
        <v>353000</v>
      </c>
      <c r="K186" s="81"/>
      <c r="L186" s="81"/>
    </row>
    <row r="187" spans="1:12" ht="46.5" x14ac:dyDescent="0.35">
      <c r="A187" s="42" t="s">
        <v>177</v>
      </c>
      <c r="B187" s="38">
        <v>8000</v>
      </c>
      <c r="C187" s="124">
        <v>5</v>
      </c>
      <c r="D187" s="44">
        <v>1</v>
      </c>
      <c r="E187" s="43">
        <f>B187*C187</f>
        <v>40000</v>
      </c>
      <c r="F187" s="59">
        <f>E187</f>
        <v>40000</v>
      </c>
      <c r="G187" s="475">
        <f>20+2+1+6+2</f>
        <v>31</v>
      </c>
      <c r="H187" s="431">
        <f>(G187*B187*D187)</f>
        <v>248000</v>
      </c>
      <c r="K187" s="81" t="s">
        <v>354</v>
      </c>
      <c r="L187" s="481" t="s">
        <v>357</v>
      </c>
    </row>
    <row r="188" spans="1:12" ht="46.5" x14ac:dyDescent="0.35">
      <c r="A188" s="42" t="s">
        <v>359</v>
      </c>
      <c r="B188" s="38">
        <v>35000</v>
      </c>
      <c r="C188" s="124"/>
      <c r="D188" s="44">
        <v>1</v>
      </c>
      <c r="E188" s="43">
        <f>B188*C188</f>
        <v>0</v>
      </c>
      <c r="F188" s="59">
        <f>E188</f>
        <v>0</v>
      </c>
      <c r="G188" s="482">
        <v>1</v>
      </c>
      <c r="H188" s="483">
        <f>(G188*B188*D188)</f>
        <v>35000</v>
      </c>
      <c r="K188" s="262"/>
      <c r="L188" s="262"/>
    </row>
    <row r="189" spans="1:12" ht="46.5" x14ac:dyDescent="0.35">
      <c r="A189" s="554" t="s">
        <v>178</v>
      </c>
      <c r="B189" s="550">
        <v>800</v>
      </c>
      <c r="C189" s="555">
        <v>30</v>
      </c>
      <c r="D189" s="549">
        <v>1</v>
      </c>
      <c r="E189" s="550">
        <f t="shared" ref="E189:E201" si="58">B189*C189</f>
        <v>24000</v>
      </c>
      <c r="F189" s="551">
        <f t="shared" ref="F189:F201" si="59">E189</f>
        <v>24000</v>
      </c>
      <c r="G189" s="555">
        <f>C189</f>
        <v>30</v>
      </c>
      <c r="H189" s="553">
        <f>(G189*B189*D189)</f>
        <v>24000</v>
      </c>
      <c r="I189" s="552"/>
      <c r="K189" s="81"/>
      <c r="L189" s="81"/>
    </row>
    <row r="190" spans="1:12" x14ac:dyDescent="0.35">
      <c r="A190" s="40" t="s">
        <v>179</v>
      </c>
      <c r="B190" s="38">
        <v>1300</v>
      </c>
      <c r="C190" s="124">
        <v>20</v>
      </c>
      <c r="D190" s="44">
        <v>1</v>
      </c>
      <c r="E190" s="38">
        <f t="shared" si="58"/>
        <v>26000</v>
      </c>
      <c r="F190" s="59">
        <f t="shared" si="59"/>
        <v>26000</v>
      </c>
      <c r="G190" s="526">
        <v>2</v>
      </c>
      <c r="H190" s="521">
        <f>(G190*B190*D190)</f>
        <v>2600</v>
      </c>
      <c r="K190" s="81"/>
      <c r="L190" s="81"/>
    </row>
    <row r="191" spans="1:12" s="81" customFormat="1" ht="31" x14ac:dyDescent="0.35">
      <c r="A191" s="40" t="s">
        <v>180</v>
      </c>
      <c r="B191" s="38"/>
      <c r="C191" s="141"/>
      <c r="D191" s="44">
        <v>1</v>
      </c>
      <c r="E191" s="38">
        <f t="shared" si="58"/>
        <v>0</v>
      </c>
      <c r="F191" s="59">
        <f t="shared" si="59"/>
        <v>0</v>
      </c>
      <c r="G191" s="154">
        <f t="shared" ref="G191:G201" si="60">C191</f>
        <v>0</v>
      </c>
      <c r="I191" s="217"/>
      <c r="J191" s="138">
        <f t="shared" ref="J191:J201" si="61">(G191*B191*D191)</f>
        <v>0</v>
      </c>
    </row>
    <row r="192" spans="1:12" x14ac:dyDescent="0.35">
      <c r="A192" s="546" t="s">
        <v>181</v>
      </c>
      <c r="B192" s="547">
        <v>900</v>
      </c>
      <c r="C192" s="548">
        <v>30</v>
      </c>
      <c r="D192" s="549">
        <v>1</v>
      </c>
      <c r="E192" s="550">
        <f t="shared" si="58"/>
        <v>27000</v>
      </c>
      <c r="F192" s="551">
        <f t="shared" si="59"/>
        <v>27000</v>
      </c>
      <c r="G192" s="548">
        <f t="shared" si="60"/>
        <v>30</v>
      </c>
      <c r="H192" s="553">
        <f>(G192*B192*D192)</f>
        <v>27000</v>
      </c>
      <c r="I192" s="552"/>
      <c r="K192" s="81"/>
      <c r="L192" s="81"/>
    </row>
    <row r="193" spans="1:13" x14ac:dyDescent="0.35">
      <c r="A193" s="229" t="s">
        <v>340</v>
      </c>
      <c r="B193" s="43">
        <v>400</v>
      </c>
      <c r="C193" s="122"/>
      <c r="D193" s="44">
        <v>1</v>
      </c>
      <c r="E193" s="38">
        <f t="shared" ref="E193" si="62">B193*C193</f>
        <v>0</v>
      </c>
      <c r="F193" s="59">
        <f t="shared" ref="F193" si="63">E193</f>
        <v>0</v>
      </c>
      <c r="G193" s="461">
        <f>3*5*2</f>
        <v>30</v>
      </c>
      <c r="H193" s="462">
        <f>(G193*B193*D193)</f>
        <v>12000</v>
      </c>
      <c r="J193" s="37"/>
      <c r="K193" s="81"/>
      <c r="L193" s="81"/>
    </row>
    <row r="194" spans="1:13" x14ac:dyDescent="0.35">
      <c r="A194" s="40" t="s">
        <v>182</v>
      </c>
      <c r="B194" s="43">
        <v>400</v>
      </c>
      <c r="C194" s="122"/>
      <c r="D194" s="44">
        <v>1</v>
      </c>
      <c r="E194" s="38">
        <f t="shared" si="58"/>
        <v>0</v>
      </c>
      <c r="F194" s="59">
        <f t="shared" si="59"/>
        <v>0</v>
      </c>
      <c r="G194" s="461">
        <f>5.5+5.5</f>
        <v>11</v>
      </c>
      <c r="H194" s="462">
        <f>(G194*B194*D194)</f>
        <v>4400</v>
      </c>
      <c r="J194" s="37"/>
      <c r="K194" s="81" t="s">
        <v>341</v>
      </c>
      <c r="L194" s="81"/>
    </row>
    <row r="195" spans="1:13" x14ac:dyDescent="0.35">
      <c r="A195" s="40" t="s">
        <v>183</v>
      </c>
      <c r="B195" s="38">
        <v>600</v>
      </c>
      <c r="C195" s="141"/>
      <c r="D195" s="44">
        <v>1</v>
      </c>
      <c r="E195" s="38">
        <f t="shared" si="58"/>
        <v>0</v>
      </c>
      <c r="F195" s="59">
        <f t="shared" si="59"/>
        <v>0</v>
      </c>
      <c r="G195" s="152">
        <f>C195</f>
        <v>0</v>
      </c>
      <c r="H195" s="81"/>
      <c r="J195" s="138">
        <f t="shared" si="61"/>
        <v>0</v>
      </c>
      <c r="K195" s="81"/>
      <c r="L195" s="81"/>
      <c r="M195" s="81"/>
    </row>
    <row r="196" spans="1:13" x14ac:dyDescent="0.35">
      <c r="A196" s="40" t="s">
        <v>184</v>
      </c>
      <c r="B196" s="38"/>
      <c r="C196" s="141"/>
      <c r="D196" s="44">
        <v>1</v>
      </c>
      <c r="E196" s="38">
        <f t="shared" si="58"/>
        <v>0</v>
      </c>
      <c r="F196" s="59">
        <f t="shared" si="59"/>
        <v>0</v>
      </c>
      <c r="G196" s="152">
        <f t="shared" si="60"/>
        <v>0</v>
      </c>
      <c r="J196" s="138">
        <f t="shared" si="61"/>
        <v>0</v>
      </c>
      <c r="K196" s="81"/>
      <c r="L196" s="81"/>
      <c r="M196" s="81"/>
    </row>
    <row r="197" spans="1:13" ht="31" x14ac:dyDescent="0.35">
      <c r="A197" s="40" t="s">
        <v>185</v>
      </c>
      <c r="B197" s="38"/>
      <c r="C197" s="124"/>
      <c r="D197" s="44">
        <v>1</v>
      </c>
      <c r="E197" s="38">
        <f t="shared" si="58"/>
        <v>0</v>
      </c>
      <c r="F197" s="59">
        <f t="shared" si="59"/>
        <v>0</v>
      </c>
      <c r="G197" s="152">
        <f t="shared" si="60"/>
        <v>0</v>
      </c>
      <c r="J197" s="138">
        <f t="shared" si="61"/>
        <v>0</v>
      </c>
      <c r="K197" s="81"/>
      <c r="L197" s="81"/>
      <c r="M197" s="81"/>
    </row>
    <row r="198" spans="1:13" x14ac:dyDescent="0.35">
      <c r="A198" s="40" t="s">
        <v>186</v>
      </c>
      <c r="B198" s="38">
        <v>3000</v>
      </c>
      <c r="C198" s="124"/>
      <c r="D198" s="44">
        <v>1</v>
      </c>
      <c r="E198" s="38">
        <f t="shared" si="58"/>
        <v>0</v>
      </c>
      <c r="F198" s="59">
        <f t="shared" si="59"/>
        <v>0</v>
      </c>
      <c r="G198" s="124">
        <f>C198</f>
        <v>0</v>
      </c>
      <c r="J198" s="138">
        <f t="shared" si="61"/>
        <v>0</v>
      </c>
      <c r="K198" s="81"/>
      <c r="L198" s="81"/>
      <c r="M198" s="81"/>
    </row>
    <row r="199" spans="1:13" x14ac:dyDescent="0.35">
      <c r="A199" s="11" t="s">
        <v>187</v>
      </c>
      <c r="B199" s="38">
        <v>1400</v>
      </c>
      <c r="C199" s="124"/>
      <c r="D199" s="44">
        <v>1</v>
      </c>
      <c r="E199" s="38">
        <f t="shared" si="58"/>
        <v>0</v>
      </c>
      <c r="F199" s="59">
        <f t="shared" si="59"/>
        <v>0</v>
      </c>
      <c r="G199" s="124">
        <f>C199</f>
        <v>0</v>
      </c>
      <c r="J199" s="138">
        <f t="shared" si="61"/>
        <v>0</v>
      </c>
      <c r="K199" s="81"/>
      <c r="L199" s="81"/>
      <c r="M199" s="81"/>
    </row>
    <row r="200" spans="1:13" x14ac:dyDescent="0.35">
      <c r="A200" s="11" t="s">
        <v>188</v>
      </c>
      <c r="B200" s="38"/>
      <c r="C200" s="152"/>
      <c r="D200" s="44">
        <v>1</v>
      </c>
      <c r="E200" s="38">
        <f t="shared" si="58"/>
        <v>0</v>
      </c>
      <c r="F200" s="59">
        <f t="shared" si="59"/>
        <v>0</v>
      </c>
      <c r="G200" s="152">
        <f t="shared" si="60"/>
        <v>0</v>
      </c>
      <c r="J200" s="138">
        <f t="shared" si="61"/>
        <v>0</v>
      </c>
      <c r="K200" s="81"/>
      <c r="L200" s="81"/>
      <c r="M200" s="81"/>
    </row>
    <row r="201" spans="1:13" x14ac:dyDescent="0.35">
      <c r="A201" s="11" t="s">
        <v>189</v>
      </c>
      <c r="B201" s="38"/>
      <c r="C201" s="124"/>
      <c r="D201" s="44">
        <v>1</v>
      </c>
      <c r="E201" s="38">
        <f t="shared" si="58"/>
        <v>0</v>
      </c>
      <c r="F201" s="59">
        <f t="shared" si="59"/>
        <v>0</v>
      </c>
      <c r="G201" s="124">
        <f t="shared" si="60"/>
        <v>0</v>
      </c>
      <c r="J201" s="138">
        <f t="shared" si="61"/>
        <v>0</v>
      </c>
      <c r="K201" s="81"/>
      <c r="L201" s="81"/>
      <c r="M201" s="81"/>
    </row>
  </sheetData>
  <mergeCells count="9">
    <mergeCell ref="A4:C4"/>
    <mergeCell ref="J7:L7"/>
    <mergeCell ref="J8:L8"/>
    <mergeCell ref="H5:H7"/>
    <mergeCell ref="K119:K120"/>
    <mergeCell ref="K115:K116"/>
    <mergeCell ref="K117:K118"/>
    <mergeCell ref="K113:K114"/>
    <mergeCell ref="A7:E7"/>
  </mergeCells>
  <hyperlinks>
    <hyperlink ref="A4" r:id="rId1" xr:uid="{00000000-0004-0000-0100-000000000000}"/>
    <hyperlink ref="A3" r:id="rId2" xr:uid="{00000000-0004-0000-0100-000001000000}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9"/>
  <sheetViews>
    <sheetView zoomScale="82" zoomScaleNormal="94" workbookViewId="0">
      <selection activeCell="J194" sqref="J194"/>
    </sheetView>
  </sheetViews>
  <sheetFormatPr defaultColWidth="9.08984375" defaultRowHeight="22" outlineLevelRow="1" x14ac:dyDescent="0.65"/>
  <cols>
    <col min="1" max="1" width="57.54296875" style="48" bestFit="1" customWidth="1"/>
    <col min="2" max="2" width="22.54296875" customWidth="1"/>
    <col min="3" max="3" width="26.08984375" style="330" bestFit="1" customWidth="1"/>
    <col min="4" max="4" width="17.26953125" customWidth="1"/>
    <col min="5" max="5" width="23.453125" style="292" customWidth="1"/>
    <col min="6" max="6" width="11.453125" style="169" bestFit="1" customWidth="1"/>
    <col min="7" max="7" width="3.26953125" style="206" customWidth="1"/>
    <col min="8" max="8" width="10.26953125" style="262" bestFit="1" customWidth="1"/>
    <col min="9" max="9" width="8.54296875" bestFit="1" customWidth="1"/>
    <col min="10" max="10" width="34.54296875" customWidth="1"/>
    <col min="11" max="11" width="12.81640625" bestFit="1" customWidth="1"/>
    <col min="12" max="12" width="14.453125" bestFit="1" customWidth="1"/>
    <col min="13" max="13" width="14.453125" customWidth="1"/>
    <col min="14" max="14" width="19.26953125" customWidth="1"/>
    <col min="15" max="15" width="24.26953125" customWidth="1"/>
  </cols>
  <sheetData>
    <row r="1" spans="1:10" ht="53.25" customHeight="1" x14ac:dyDescent="0.85">
      <c r="A1" s="46" t="s">
        <v>190</v>
      </c>
      <c r="B1" s="598" t="s">
        <v>191</v>
      </c>
      <c r="C1" s="598"/>
      <c r="D1" s="598"/>
    </row>
    <row r="2" spans="1:10" x14ac:dyDescent="0.65">
      <c r="A2" s="47" t="str">
        <f>Díj!A2</f>
        <v>Jakab Viktória</v>
      </c>
      <c r="B2" s="185" t="s">
        <v>192</v>
      </c>
      <c r="C2" s="324"/>
      <c r="D2" s="20"/>
    </row>
    <row r="3" spans="1:10" x14ac:dyDescent="0.65">
      <c r="A3" s="48" t="s">
        <v>193</v>
      </c>
      <c r="B3" s="19">
        <f>SUM(A8,A14,A32,A48,A68,A88,A98,A117,A135,A153,A160,A178,A195,A212)</f>
        <v>955198.77</v>
      </c>
      <c r="C3" s="325"/>
      <c r="D3" s="20">
        <f>SUM(E8,E14,E32,E48,E68,E88,E98,E117,E135,E153,E160,E178,E195,E212)</f>
        <v>1134131.52</v>
      </c>
      <c r="E3" s="293" t="s">
        <v>194</v>
      </c>
      <c r="F3" s="170"/>
    </row>
    <row r="4" spans="1:10" s="52" customFormat="1" ht="66" customHeight="1" x14ac:dyDescent="0.5">
      <c r="A4" s="602" t="s">
        <v>195</v>
      </c>
      <c r="B4" s="602"/>
      <c r="C4" s="602"/>
      <c r="D4" s="602"/>
      <c r="E4" s="602"/>
      <c r="F4" s="170"/>
      <c r="G4" s="207"/>
      <c r="H4" s="262"/>
    </row>
    <row r="5" spans="1:10" ht="56.25" customHeight="1" x14ac:dyDescent="0.35">
      <c r="A5" s="599" t="s">
        <v>196</v>
      </c>
      <c r="B5" s="599"/>
      <c r="C5" s="599"/>
      <c r="D5" s="599"/>
      <c r="E5" s="599"/>
      <c r="F5" s="599"/>
    </row>
    <row r="6" spans="1:10" ht="37.25" customHeight="1" x14ac:dyDescent="0.65">
      <c r="A6" s="420" t="s">
        <v>197</v>
      </c>
      <c r="B6" s="600" t="s">
        <v>198</v>
      </c>
      <c r="C6" s="601"/>
      <c r="D6" s="601"/>
      <c r="E6" s="294"/>
      <c r="F6" s="171"/>
    </row>
    <row r="7" spans="1:10" ht="63.75" customHeight="1" thickBot="1" x14ac:dyDescent="1">
      <c r="A7" s="18" t="s">
        <v>199</v>
      </c>
      <c r="B7" s="17" t="s">
        <v>200</v>
      </c>
      <c r="C7" s="326" t="s">
        <v>201</v>
      </c>
      <c r="D7" s="9" t="s">
        <v>57</v>
      </c>
      <c r="H7" s="586">
        <f>SUM(H9:H403)</f>
        <v>0</v>
      </c>
      <c r="I7" s="586"/>
      <c r="J7" s="586"/>
    </row>
    <row r="8" spans="1:10" ht="25" thickBot="1" x14ac:dyDescent="0.75">
      <c r="A8" s="49">
        <f>SUM(D9:D11)</f>
        <v>0</v>
      </c>
      <c r="B8" s="21" t="s">
        <v>62</v>
      </c>
      <c r="C8" s="327" t="s">
        <v>63</v>
      </c>
      <c r="D8" s="80"/>
      <c r="E8" s="295">
        <f>SUM(F9:F11)</f>
        <v>0</v>
      </c>
      <c r="F8" s="597" t="s">
        <v>202</v>
      </c>
      <c r="G8" s="597"/>
      <c r="H8" s="597"/>
      <c r="J8" s="214" t="s">
        <v>203</v>
      </c>
    </row>
    <row r="9" spans="1:10" hidden="1" outlineLevel="1" x14ac:dyDescent="0.65">
      <c r="A9" s="13"/>
      <c r="B9" s="12">
        <v>0</v>
      </c>
      <c r="C9" s="328">
        <v>0</v>
      </c>
      <c r="D9" s="12">
        <f>B9*C9</f>
        <v>0</v>
      </c>
      <c r="F9" s="172">
        <f>D9</f>
        <v>0</v>
      </c>
      <c r="G9" s="208"/>
    </row>
    <row r="10" spans="1:10" hidden="1" outlineLevel="1" x14ac:dyDescent="0.65">
      <c r="A10" s="11" t="s">
        <v>204</v>
      </c>
      <c r="B10" s="10">
        <v>0</v>
      </c>
      <c r="C10" s="329">
        <v>0</v>
      </c>
      <c r="D10" s="10">
        <f>B10*C10</f>
        <v>0</v>
      </c>
      <c r="F10" s="172">
        <f>D10</f>
        <v>0</v>
      </c>
      <c r="G10" s="208"/>
    </row>
    <row r="11" spans="1:10" hidden="1" outlineLevel="1" x14ac:dyDescent="0.65">
      <c r="A11" s="11"/>
      <c r="B11" s="10">
        <v>0</v>
      </c>
      <c r="C11" s="329">
        <v>0</v>
      </c>
      <c r="D11" s="10">
        <f>B11*C11</f>
        <v>0</v>
      </c>
      <c r="F11" s="172">
        <f>D11</f>
        <v>0</v>
      </c>
      <c r="G11" s="208"/>
    </row>
    <row r="12" spans="1:10" collapsed="1" x14ac:dyDescent="0.65"/>
    <row r="13" spans="1:10" ht="63.75" customHeight="1" thickBot="1" x14ac:dyDescent="0.7">
      <c r="A13" s="18" t="s">
        <v>205</v>
      </c>
      <c r="B13" s="17" t="s">
        <v>200</v>
      </c>
      <c r="C13" s="331" t="s">
        <v>206</v>
      </c>
      <c r="D13" s="79" t="s">
        <v>207</v>
      </c>
      <c r="E13" s="296" t="s">
        <v>208</v>
      </c>
    </row>
    <row r="14" spans="1:10" ht="22.5" thickBot="1" x14ac:dyDescent="0.7">
      <c r="A14" s="49">
        <f>SUM(D15:D29)</f>
        <v>0</v>
      </c>
      <c r="B14" s="21" t="s">
        <v>62</v>
      </c>
      <c r="C14" s="327" t="s">
        <v>63</v>
      </c>
      <c r="D14" s="80">
        <f>SUM(D15:D30)</f>
        <v>0</v>
      </c>
      <c r="E14" s="297">
        <f>SUM(F15:F16)</f>
        <v>0</v>
      </c>
      <c r="F14" s="596" t="s">
        <v>202</v>
      </c>
      <c r="G14" s="597"/>
      <c r="H14" s="597"/>
    </row>
    <row r="15" spans="1:10" x14ac:dyDescent="0.65">
      <c r="A15" s="11" t="s">
        <v>209</v>
      </c>
      <c r="B15" s="10">
        <v>45000</v>
      </c>
      <c r="C15" s="289">
        <v>0</v>
      </c>
      <c r="D15" s="10">
        <f>B15*C15</f>
        <v>0</v>
      </c>
      <c r="E15" s="291">
        <f>C15</f>
        <v>0</v>
      </c>
      <c r="F15" s="172"/>
      <c r="G15" s="208"/>
      <c r="H15" s="279">
        <f>E15*B15</f>
        <v>0</v>
      </c>
    </row>
    <row r="16" spans="1:10" s="271" customFormat="1" x14ac:dyDescent="0.65">
      <c r="A16" s="388" t="s">
        <v>210</v>
      </c>
      <c r="B16" s="389">
        <v>20000</v>
      </c>
      <c r="C16" s="390"/>
      <c r="D16" s="389">
        <f>B16*C16</f>
        <v>0</v>
      </c>
      <c r="E16" s="391"/>
      <c r="G16" s="208"/>
      <c r="H16" s="279">
        <f>E16*B16</f>
        <v>0</v>
      </c>
    </row>
    <row r="17" spans="1:10" hidden="1" outlineLevel="1" x14ac:dyDescent="0.65">
      <c r="A17" s="34" t="s">
        <v>211</v>
      </c>
      <c r="B17" s="10">
        <v>2500</v>
      </c>
      <c r="C17" s="289"/>
      <c r="D17" s="10">
        <f t="shared" ref="D17:D29" si="0">B17*C17</f>
        <v>0</v>
      </c>
      <c r="E17" s="291">
        <f t="shared" ref="E17:E29" si="1">C17</f>
        <v>0</v>
      </c>
      <c r="F17" s="172">
        <f t="shared" ref="F17:F22" si="2">E17*B17</f>
        <v>0</v>
      </c>
      <c r="G17" s="208"/>
    </row>
    <row r="18" spans="1:10" hidden="1" outlineLevel="1" x14ac:dyDescent="0.65">
      <c r="C18" s="289"/>
      <c r="D18" s="10">
        <f>B16*C18</f>
        <v>0</v>
      </c>
      <c r="E18" s="291">
        <f t="shared" si="1"/>
        <v>0</v>
      </c>
      <c r="F18" s="172">
        <f>E18*B16</f>
        <v>0</v>
      </c>
      <c r="G18" s="208"/>
    </row>
    <row r="19" spans="1:10" hidden="1" outlineLevel="1" x14ac:dyDescent="0.65">
      <c r="A19" s="11"/>
      <c r="B19" s="10"/>
      <c r="C19" s="289"/>
      <c r="D19" s="10">
        <f t="shared" si="0"/>
        <v>0</v>
      </c>
      <c r="E19" s="291">
        <f t="shared" si="1"/>
        <v>0</v>
      </c>
      <c r="F19" s="172">
        <f t="shared" si="2"/>
        <v>0</v>
      </c>
      <c r="G19" s="208"/>
      <c r="J19" t="s">
        <v>212</v>
      </c>
    </row>
    <row r="20" spans="1:10" hidden="1" outlineLevel="1" x14ac:dyDescent="0.65">
      <c r="A20" s="34"/>
      <c r="B20" s="10"/>
      <c r="C20" s="332"/>
      <c r="D20" s="10">
        <f t="shared" si="0"/>
        <v>0</v>
      </c>
      <c r="E20" s="298">
        <f t="shared" si="1"/>
        <v>0</v>
      </c>
      <c r="F20" s="172">
        <f t="shared" si="2"/>
        <v>0</v>
      </c>
      <c r="G20" s="208"/>
    </row>
    <row r="21" spans="1:10" hidden="1" outlineLevel="1" x14ac:dyDescent="0.65">
      <c r="A21" s="11"/>
      <c r="B21" s="10"/>
      <c r="C21" s="289"/>
      <c r="D21" s="10">
        <f t="shared" si="0"/>
        <v>0</v>
      </c>
      <c r="E21" s="291">
        <f t="shared" si="1"/>
        <v>0</v>
      </c>
      <c r="F21" s="172">
        <f t="shared" si="2"/>
        <v>0</v>
      </c>
      <c r="G21" s="208"/>
    </row>
    <row r="22" spans="1:10" hidden="1" outlineLevel="1" x14ac:dyDescent="0.65">
      <c r="A22" s="11"/>
      <c r="B22" s="10"/>
      <c r="C22" s="289"/>
      <c r="D22" s="10">
        <f t="shared" si="0"/>
        <v>0</v>
      </c>
      <c r="E22" s="291">
        <f t="shared" si="1"/>
        <v>0</v>
      </c>
      <c r="F22" s="172">
        <f t="shared" si="2"/>
        <v>0</v>
      </c>
      <c r="G22" s="208"/>
    </row>
    <row r="23" spans="1:10" hidden="1" outlineLevel="1" x14ac:dyDescent="0.65">
      <c r="A23" s="11"/>
      <c r="B23" s="10"/>
      <c r="C23" s="289"/>
      <c r="D23" s="10">
        <f t="shared" si="0"/>
        <v>0</v>
      </c>
      <c r="E23" s="292">
        <f t="shared" si="1"/>
        <v>0</v>
      </c>
      <c r="F23" s="172">
        <f t="shared" ref="F23:F29" si="3">D23</f>
        <v>0</v>
      </c>
      <c r="G23" s="208"/>
    </row>
    <row r="24" spans="1:10" hidden="1" outlineLevel="1" x14ac:dyDescent="0.65">
      <c r="A24" s="11"/>
      <c r="B24" s="10"/>
      <c r="C24" s="289"/>
      <c r="D24" s="10">
        <f t="shared" si="0"/>
        <v>0</v>
      </c>
      <c r="E24" s="292">
        <f t="shared" si="1"/>
        <v>0</v>
      </c>
      <c r="F24" s="172">
        <f t="shared" si="3"/>
        <v>0</v>
      </c>
      <c r="G24" s="208"/>
    </row>
    <row r="25" spans="1:10" hidden="1" outlineLevel="1" x14ac:dyDescent="0.65">
      <c r="A25" s="11"/>
      <c r="B25" s="10"/>
      <c r="C25" s="289"/>
      <c r="D25" s="10">
        <f t="shared" si="0"/>
        <v>0</v>
      </c>
      <c r="E25" s="292">
        <f t="shared" si="1"/>
        <v>0</v>
      </c>
      <c r="F25" s="172">
        <f t="shared" si="3"/>
        <v>0</v>
      </c>
      <c r="G25" s="208"/>
    </row>
    <row r="26" spans="1:10" hidden="1" outlineLevel="1" x14ac:dyDescent="0.65">
      <c r="A26" s="11"/>
      <c r="B26" s="10">
        <v>0</v>
      </c>
      <c r="C26" s="289"/>
      <c r="D26" s="10">
        <f t="shared" si="0"/>
        <v>0</v>
      </c>
      <c r="E26" s="292">
        <f t="shared" si="1"/>
        <v>0</v>
      </c>
      <c r="F26" s="172">
        <f t="shared" si="3"/>
        <v>0</v>
      </c>
      <c r="G26" s="208"/>
    </row>
    <row r="27" spans="1:10" hidden="1" outlineLevel="1" x14ac:dyDescent="0.65">
      <c r="A27" s="11"/>
      <c r="B27" s="10">
        <v>0</v>
      </c>
      <c r="C27" s="289"/>
      <c r="D27" s="10">
        <f t="shared" si="0"/>
        <v>0</v>
      </c>
      <c r="E27" s="292">
        <f t="shared" si="1"/>
        <v>0</v>
      </c>
      <c r="F27" s="172">
        <f t="shared" si="3"/>
        <v>0</v>
      </c>
      <c r="G27" s="208"/>
    </row>
    <row r="28" spans="1:10" hidden="1" outlineLevel="1" x14ac:dyDescent="0.65">
      <c r="A28" s="11"/>
      <c r="B28" s="10">
        <v>0</v>
      </c>
      <c r="C28" s="289"/>
      <c r="D28" s="10">
        <f t="shared" si="0"/>
        <v>0</v>
      </c>
      <c r="E28" s="292">
        <f t="shared" si="1"/>
        <v>0</v>
      </c>
      <c r="F28" s="172">
        <f t="shared" si="3"/>
        <v>0</v>
      </c>
      <c r="G28" s="208"/>
    </row>
    <row r="29" spans="1:10" hidden="1" outlineLevel="1" x14ac:dyDescent="0.65">
      <c r="A29" s="11"/>
      <c r="B29" s="10">
        <v>0</v>
      </c>
      <c r="C29" s="289"/>
      <c r="D29" s="10">
        <f t="shared" si="0"/>
        <v>0</v>
      </c>
      <c r="E29" s="292">
        <f t="shared" si="1"/>
        <v>0</v>
      </c>
      <c r="F29" s="172">
        <f t="shared" si="3"/>
        <v>0</v>
      </c>
      <c r="G29" s="208"/>
    </row>
    <row r="30" spans="1:10" collapsed="1" x14ac:dyDescent="0.65">
      <c r="G30" s="208"/>
    </row>
    <row r="31" spans="1:10" ht="63.75" customHeight="1" thickBot="1" x14ac:dyDescent="0.7">
      <c r="A31" s="18" t="s">
        <v>213</v>
      </c>
      <c r="B31" s="17" t="s">
        <v>200</v>
      </c>
      <c r="C31" s="331" t="s">
        <v>206</v>
      </c>
      <c r="D31" s="79" t="s">
        <v>207</v>
      </c>
      <c r="E31" s="296" t="s">
        <v>208</v>
      </c>
    </row>
    <row r="32" spans="1:10" ht="22.5" thickBot="1" x14ac:dyDescent="0.7">
      <c r="A32" s="49">
        <f>SUM(D33:D45)</f>
        <v>131200</v>
      </c>
      <c r="B32" s="21" t="s">
        <v>62</v>
      </c>
      <c r="C32" s="327" t="s">
        <v>63</v>
      </c>
      <c r="D32" s="80">
        <f>SUM(D33:D47)</f>
        <v>131200</v>
      </c>
      <c r="E32" s="297">
        <f>SUM(F33:F42)</f>
        <v>123200</v>
      </c>
      <c r="F32" s="596" t="s">
        <v>202</v>
      </c>
      <c r="G32" s="597"/>
      <c r="H32" s="597"/>
    </row>
    <row r="33" spans="1:9" x14ac:dyDescent="0.65">
      <c r="A33" s="13" t="s">
        <v>214</v>
      </c>
      <c r="B33" s="12">
        <v>600</v>
      </c>
      <c r="C33" s="333">
        <v>15</v>
      </c>
      <c r="D33" s="12">
        <f t="shared" ref="D33:D42" si="4">B33*C33</f>
        <v>9000</v>
      </c>
      <c r="E33" s="434">
        <f>C33</f>
        <v>15</v>
      </c>
      <c r="F33" s="433">
        <f t="shared" ref="F33:F39" si="5">E33*B33</f>
        <v>9000</v>
      </c>
      <c r="G33" s="209"/>
    </row>
    <row r="34" spans="1:9" x14ac:dyDescent="0.65">
      <c r="A34" s="11" t="s">
        <v>215</v>
      </c>
      <c r="B34" s="10">
        <v>2500</v>
      </c>
      <c r="C34" s="289">
        <v>20</v>
      </c>
      <c r="D34" s="10">
        <f t="shared" si="4"/>
        <v>50000</v>
      </c>
      <c r="E34" s="435">
        <f>C34</f>
        <v>20</v>
      </c>
      <c r="F34" s="433">
        <f t="shared" si="5"/>
        <v>50000</v>
      </c>
      <c r="G34" s="208"/>
    </row>
    <row r="35" spans="1:9" s="271" customFormat="1" x14ac:dyDescent="0.65">
      <c r="A35" s="11" t="s">
        <v>216</v>
      </c>
      <c r="B35" s="10">
        <v>4000</v>
      </c>
      <c r="C35" s="289">
        <v>5</v>
      </c>
      <c r="D35" s="10">
        <f t="shared" si="4"/>
        <v>20000</v>
      </c>
      <c r="E35" s="516">
        <v>5</v>
      </c>
      <c r="F35" s="517">
        <f t="shared" si="5"/>
        <v>20000</v>
      </c>
      <c r="G35" s="274"/>
    </row>
    <row r="36" spans="1:9" x14ac:dyDescent="0.65">
      <c r="A36" s="11" t="s">
        <v>217</v>
      </c>
      <c r="B36" s="10">
        <v>4000</v>
      </c>
      <c r="C36" s="289">
        <v>3</v>
      </c>
      <c r="D36" s="10">
        <f t="shared" si="4"/>
        <v>12000</v>
      </c>
      <c r="E36" s="494">
        <v>1</v>
      </c>
      <c r="F36" s="495">
        <f t="shared" si="5"/>
        <v>4000</v>
      </c>
      <c r="G36" s="208"/>
      <c r="H36" s="279"/>
      <c r="I36" s="82" t="s">
        <v>363</v>
      </c>
    </row>
    <row r="37" spans="1:9" x14ac:dyDescent="0.65">
      <c r="A37" s="11" t="s">
        <v>218</v>
      </c>
      <c r="B37" s="10">
        <v>1800</v>
      </c>
      <c r="C37" s="332">
        <v>4</v>
      </c>
      <c r="D37" s="10">
        <f t="shared" si="4"/>
        <v>7200</v>
      </c>
      <c r="E37" s="434">
        <f t="shared" ref="E37:E42" si="6">C37</f>
        <v>4</v>
      </c>
      <c r="F37" s="433">
        <f t="shared" si="5"/>
        <v>7200</v>
      </c>
      <c r="G37" s="208"/>
    </row>
    <row r="38" spans="1:9" x14ac:dyDescent="0.65">
      <c r="A38" s="11" t="s">
        <v>219</v>
      </c>
      <c r="B38" s="10">
        <v>1500</v>
      </c>
      <c r="C38" s="289">
        <v>20</v>
      </c>
      <c r="D38" s="10">
        <f t="shared" si="4"/>
        <v>30000</v>
      </c>
      <c r="E38" s="435">
        <f t="shared" si="6"/>
        <v>20</v>
      </c>
      <c r="F38" s="433">
        <f t="shared" si="5"/>
        <v>30000</v>
      </c>
      <c r="G38" s="208"/>
    </row>
    <row r="39" spans="1:9" x14ac:dyDescent="0.65">
      <c r="A39" s="11" t="s">
        <v>330</v>
      </c>
      <c r="B39" s="10">
        <v>3000</v>
      </c>
      <c r="C39" s="289">
        <v>1</v>
      </c>
      <c r="D39" s="10">
        <f t="shared" si="4"/>
        <v>3000</v>
      </c>
      <c r="E39" s="494">
        <f t="shared" si="6"/>
        <v>1</v>
      </c>
      <c r="F39" s="495">
        <f t="shared" si="5"/>
        <v>3000</v>
      </c>
      <c r="G39" s="208"/>
    </row>
    <row r="40" spans="1:9" hidden="1" outlineLevel="1" x14ac:dyDescent="0.65">
      <c r="A40" s="11" t="s">
        <v>220</v>
      </c>
      <c r="B40" s="10">
        <v>2700</v>
      </c>
      <c r="C40" s="289"/>
      <c r="D40" s="10">
        <f t="shared" si="4"/>
        <v>0</v>
      </c>
      <c r="E40" s="291">
        <f t="shared" si="6"/>
        <v>0</v>
      </c>
      <c r="F40" s="279"/>
      <c r="G40" s="208"/>
    </row>
    <row r="41" spans="1:9" hidden="1" outlineLevel="1" x14ac:dyDescent="0.65">
      <c r="A41" s="11" t="s">
        <v>221</v>
      </c>
      <c r="B41" s="10">
        <v>8000</v>
      </c>
      <c r="C41" s="289"/>
      <c r="D41" s="10">
        <f t="shared" si="4"/>
        <v>0</v>
      </c>
      <c r="E41" s="291">
        <v>0</v>
      </c>
      <c r="G41" s="208"/>
      <c r="H41" s="279">
        <f>E41*B41</f>
        <v>0</v>
      </c>
    </row>
    <row r="42" spans="1:9" hidden="1" outlineLevel="1" x14ac:dyDescent="0.65">
      <c r="A42" s="11" t="s">
        <v>222</v>
      </c>
      <c r="B42" s="10">
        <v>6000</v>
      </c>
      <c r="C42" s="289"/>
      <c r="D42" s="10">
        <f t="shared" si="4"/>
        <v>0</v>
      </c>
      <c r="E42" s="291">
        <f t="shared" si="6"/>
        <v>0</v>
      </c>
      <c r="F42" s="279"/>
      <c r="G42" s="208"/>
    </row>
    <row r="43" spans="1:9" hidden="1" outlineLevel="1" x14ac:dyDescent="0.65">
      <c r="A43" s="11"/>
      <c r="B43" s="10"/>
      <c r="C43" s="289"/>
      <c r="D43" s="10"/>
      <c r="F43" s="172">
        <f>D43</f>
        <v>0</v>
      </c>
      <c r="G43" s="208"/>
      <c r="H43" s="279">
        <f t="shared" ref="H43:H46" si="7">E43*B43</f>
        <v>0</v>
      </c>
    </row>
    <row r="44" spans="1:9" hidden="1" outlineLevel="1" x14ac:dyDescent="0.65">
      <c r="A44" s="11"/>
      <c r="B44" s="10"/>
      <c r="C44" s="289"/>
      <c r="D44" s="10"/>
      <c r="F44" s="172">
        <f>D44</f>
        <v>0</v>
      </c>
      <c r="G44" s="208"/>
      <c r="H44" s="279">
        <f t="shared" si="7"/>
        <v>0</v>
      </c>
    </row>
    <row r="45" spans="1:9" hidden="1" outlineLevel="1" x14ac:dyDescent="0.65">
      <c r="A45" s="11"/>
      <c r="B45" s="10"/>
      <c r="C45" s="289"/>
      <c r="D45" s="10"/>
      <c r="F45" s="172">
        <f>D45</f>
        <v>0</v>
      </c>
      <c r="G45" s="208"/>
      <c r="H45" s="279">
        <f t="shared" si="7"/>
        <v>0</v>
      </c>
    </row>
    <row r="46" spans="1:9" hidden="1" outlineLevel="1" x14ac:dyDescent="0.65">
      <c r="A46" s="11"/>
      <c r="B46" s="10"/>
      <c r="C46" s="289"/>
      <c r="D46" s="10"/>
      <c r="F46" s="172"/>
      <c r="G46" s="208"/>
      <c r="H46" s="279">
        <f t="shared" si="7"/>
        <v>0</v>
      </c>
    </row>
    <row r="47" spans="1:9" ht="63.75" customHeight="1" collapsed="1" thickBot="1" x14ac:dyDescent="0.7">
      <c r="A47" s="18" t="s">
        <v>223</v>
      </c>
      <c r="B47" s="17" t="s">
        <v>200</v>
      </c>
      <c r="C47" s="331" t="s">
        <v>206</v>
      </c>
      <c r="D47" s="79" t="s">
        <v>207</v>
      </c>
      <c r="E47" s="296" t="s">
        <v>208</v>
      </c>
      <c r="G47" s="208"/>
    </row>
    <row r="48" spans="1:9" ht="22.5" thickBot="1" x14ac:dyDescent="0.7">
      <c r="A48" s="49">
        <f>SUM(D49:D57)</f>
        <v>209400</v>
      </c>
      <c r="B48" s="21" t="s">
        <v>62</v>
      </c>
      <c r="C48" s="327" t="s">
        <v>63</v>
      </c>
      <c r="D48" s="80">
        <f>SUM(D49:D57)</f>
        <v>209400</v>
      </c>
      <c r="E48" s="297">
        <f>SUM(F49:F57)</f>
        <v>172000</v>
      </c>
      <c r="F48" s="596" t="s">
        <v>202</v>
      </c>
      <c r="G48" s="597"/>
      <c r="H48" s="597"/>
    </row>
    <row r="49" spans="1:15" x14ac:dyDescent="0.35">
      <c r="A49" s="42" t="s">
        <v>224</v>
      </c>
      <c r="B49" s="43">
        <v>700</v>
      </c>
      <c r="C49" s="334">
        <v>100</v>
      </c>
      <c r="D49" s="43">
        <f t="shared" ref="D49:D55" si="8">B49*C49</f>
        <v>70000</v>
      </c>
      <c r="E49" s="299">
        <f>C49</f>
        <v>100</v>
      </c>
      <c r="F49" s="423">
        <f t="shared" ref="F49:F57" si="9">E49*B49</f>
        <v>70000</v>
      </c>
      <c r="G49" s="209"/>
    </row>
    <row r="50" spans="1:15" x14ac:dyDescent="0.35">
      <c r="A50" s="40" t="s">
        <v>225</v>
      </c>
      <c r="B50" s="38">
        <v>500</v>
      </c>
      <c r="C50" s="335">
        <v>50</v>
      </c>
      <c r="D50" s="38">
        <f>B50*C50</f>
        <v>25000</v>
      </c>
      <c r="E50" s="300">
        <f t="shared" ref="E50:E57" si="10">C50</f>
        <v>50</v>
      </c>
      <c r="F50" s="423">
        <f t="shared" si="9"/>
        <v>25000</v>
      </c>
      <c r="G50" s="210"/>
    </row>
    <row r="51" spans="1:15" ht="31" x14ac:dyDescent="0.35">
      <c r="A51" s="40" t="s">
        <v>226</v>
      </c>
      <c r="B51" s="38">
        <v>3000</v>
      </c>
      <c r="C51" s="335">
        <v>8</v>
      </c>
      <c r="D51" s="38">
        <f t="shared" si="8"/>
        <v>24000</v>
      </c>
      <c r="E51" s="504">
        <f>C51+2</f>
        <v>10</v>
      </c>
      <c r="F51" s="423">
        <f t="shared" si="9"/>
        <v>30000</v>
      </c>
      <c r="G51" s="210"/>
    </row>
    <row r="52" spans="1:15" x14ac:dyDescent="0.35">
      <c r="A52" s="40" t="s">
        <v>227</v>
      </c>
      <c r="B52" s="38">
        <v>400</v>
      </c>
      <c r="C52" s="335"/>
      <c r="D52" s="38">
        <f t="shared" si="8"/>
        <v>0</v>
      </c>
      <c r="E52" s="456">
        <v>14</v>
      </c>
      <c r="F52" s="457">
        <f t="shared" si="9"/>
        <v>5600</v>
      </c>
      <c r="G52" s="210"/>
    </row>
    <row r="53" spans="1:15" x14ac:dyDescent="0.35">
      <c r="A53" s="40" t="s">
        <v>344</v>
      </c>
      <c r="B53" s="38">
        <v>1800</v>
      </c>
      <c r="C53" s="336">
        <v>30</v>
      </c>
      <c r="D53" s="38">
        <f t="shared" si="8"/>
        <v>54000</v>
      </c>
      <c r="E53" s="465">
        <v>5</v>
      </c>
      <c r="F53" s="464">
        <f t="shared" si="9"/>
        <v>9000</v>
      </c>
      <c r="G53" s="210"/>
    </row>
    <row r="54" spans="1:15" ht="22.5" thickBot="1" x14ac:dyDescent="0.4">
      <c r="A54" s="40" t="s">
        <v>228</v>
      </c>
      <c r="B54" s="38">
        <v>16000</v>
      </c>
      <c r="C54" s="336">
        <v>1</v>
      </c>
      <c r="D54" s="38">
        <f t="shared" si="8"/>
        <v>16000</v>
      </c>
      <c r="E54" s="465">
        <f t="shared" si="10"/>
        <v>1</v>
      </c>
      <c r="F54" s="464">
        <f t="shared" si="9"/>
        <v>16000</v>
      </c>
      <c r="G54" s="210"/>
    </row>
    <row r="55" spans="1:15" x14ac:dyDescent="0.35">
      <c r="A55" s="40" t="s">
        <v>229</v>
      </c>
      <c r="B55" s="38">
        <v>5000</v>
      </c>
      <c r="C55" s="336">
        <v>1</v>
      </c>
      <c r="D55" s="38">
        <f t="shared" si="8"/>
        <v>5000</v>
      </c>
      <c r="E55" s="465">
        <f t="shared" si="10"/>
        <v>1</v>
      </c>
      <c r="F55" s="464">
        <f t="shared" si="9"/>
        <v>5000</v>
      </c>
      <c r="G55" s="210"/>
      <c r="J55" s="73" t="s">
        <v>230</v>
      </c>
      <c r="K55" s="23" t="s">
        <v>66</v>
      </c>
      <c r="L55" s="24" t="s">
        <v>67</v>
      </c>
      <c r="M55" s="24" t="s">
        <v>68</v>
      </c>
      <c r="N55" s="25" t="s">
        <v>69</v>
      </c>
      <c r="O55" s="26">
        <v>5000</v>
      </c>
    </row>
    <row r="56" spans="1:15" ht="22.5" thickBot="1" x14ac:dyDescent="0.4">
      <c r="A56" s="40" t="s">
        <v>231</v>
      </c>
      <c r="B56" s="272">
        <v>800</v>
      </c>
      <c r="C56" s="335">
        <v>13</v>
      </c>
      <c r="D56" s="38">
        <f>B56*C56</f>
        <v>10400</v>
      </c>
      <c r="E56" s="432">
        <v>8</v>
      </c>
      <c r="F56" s="433">
        <f t="shared" si="9"/>
        <v>6400</v>
      </c>
      <c r="G56" s="210"/>
      <c r="J56" s="31"/>
      <c r="K56" s="27">
        <v>1.5</v>
      </c>
      <c r="L56" s="28">
        <f>J56*K56*10</f>
        <v>0</v>
      </c>
      <c r="M56" s="29">
        <f>L56*1.6</f>
        <v>0</v>
      </c>
      <c r="N56" s="32">
        <f>M56/25</f>
        <v>0</v>
      </c>
      <c r="O56" s="30">
        <f>N56*O55</f>
        <v>0</v>
      </c>
    </row>
    <row r="57" spans="1:15" x14ac:dyDescent="0.35">
      <c r="A57" s="11" t="s">
        <v>232</v>
      </c>
      <c r="B57" s="10">
        <v>5000</v>
      </c>
      <c r="C57" s="336">
        <v>1</v>
      </c>
      <c r="D57" s="38">
        <f>B57*C57</f>
        <v>5000</v>
      </c>
      <c r="E57" s="465">
        <f t="shared" si="10"/>
        <v>1</v>
      </c>
      <c r="F57" s="464">
        <f t="shared" si="9"/>
        <v>5000</v>
      </c>
      <c r="G57" s="210"/>
    </row>
    <row r="58" spans="1:15" hidden="1" outlineLevel="1" x14ac:dyDescent="0.65">
      <c r="A58" s="11"/>
      <c r="B58" s="10"/>
      <c r="C58" s="332"/>
      <c r="D58" s="38">
        <f>B58*C58</f>
        <v>0</v>
      </c>
      <c r="E58" s="301"/>
      <c r="F58" s="173">
        <f>D58</f>
        <v>0</v>
      </c>
      <c r="G58" s="210"/>
      <c r="H58" s="279">
        <f t="shared" ref="H58:H66" si="11">E58*B58</f>
        <v>0</v>
      </c>
    </row>
    <row r="59" spans="1:15" hidden="1" outlineLevel="1" x14ac:dyDescent="0.65">
      <c r="A59" s="11"/>
      <c r="B59" s="10"/>
      <c r="C59" s="332"/>
      <c r="D59" s="10">
        <f>B56*C59</f>
        <v>0</v>
      </c>
      <c r="F59" s="172">
        <f t="shared" ref="F59:F66" si="12">D59</f>
        <v>0</v>
      </c>
      <c r="G59" s="210"/>
      <c r="H59" s="279">
        <f t="shared" si="11"/>
        <v>0</v>
      </c>
    </row>
    <row r="60" spans="1:15" hidden="1" outlineLevel="1" x14ac:dyDescent="0.65">
      <c r="A60" s="11"/>
      <c r="B60" s="10"/>
      <c r="C60" s="289"/>
      <c r="D60" s="10">
        <f>B58*C60</f>
        <v>0</v>
      </c>
      <c r="F60" s="172">
        <f t="shared" si="12"/>
        <v>0</v>
      </c>
      <c r="G60" s="208"/>
      <c r="H60" s="279">
        <f t="shared" si="11"/>
        <v>0</v>
      </c>
    </row>
    <row r="61" spans="1:15" hidden="1" outlineLevel="1" x14ac:dyDescent="0.65">
      <c r="A61" s="11"/>
      <c r="B61" s="10"/>
      <c r="C61" s="332"/>
      <c r="D61" s="10">
        <f t="shared" ref="D61:D66" si="13">B61*C61</f>
        <v>0</v>
      </c>
      <c r="F61" s="172">
        <f t="shared" si="12"/>
        <v>0</v>
      </c>
      <c r="G61" s="208"/>
      <c r="H61" s="279">
        <f t="shared" si="11"/>
        <v>0</v>
      </c>
    </row>
    <row r="62" spans="1:15" hidden="1" outlineLevel="1" x14ac:dyDescent="0.65">
      <c r="A62" s="11"/>
      <c r="B62" s="10"/>
      <c r="C62" s="289"/>
      <c r="D62" s="10">
        <f t="shared" si="13"/>
        <v>0</v>
      </c>
      <c r="F62" s="172">
        <f t="shared" si="12"/>
        <v>0</v>
      </c>
      <c r="G62" s="208"/>
      <c r="H62" s="279">
        <f t="shared" si="11"/>
        <v>0</v>
      </c>
    </row>
    <row r="63" spans="1:15" hidden="1" outlineLevel="1" x14ac:dyDescent="0.65">
      <c r="A63" s="11"/>
      <c r="B63" s="10"/>
      <c r="C63" s="332"/>
      <c r="D63" s="10">
        <f t="shared" si="13"/>
        <v>0</v>
      </c>
      <c r="F63" s="172">
        <f t="shared" si="12"/>
        <v>0</v>
      </c>
      <c r="G63" s="208"/>
      <c r="H63" s="279">
        <f t="shared" si="11"/>
        <v>0</v>
      </c>
    </row>
    <row r="64" spans="1:15" hidden="1" outlineLevel="1" x14ac:dyDescent="0.65">
      <c r="A64" s="11"/>
      <c r="B64" s="10"/>
      <c r="C64" s="329"/>
      <c r="D64" s="10">
        <f t="shared" si="13"/>
        <v>0</v>
      </c>
      <c r="F64" s="172">
        <f t="shared" si="12"/>
        <v>0</v>
      </c>
      <c r="G64" s="208"/>
      <c r="H64" s="279">
        <f t="shared" si="11"/>
        <v>0</v>
      </c>
    </row>
    <row r="65" spans="1:15" hidden="1" outlineLevel="1" x14ac:dyDescent="0.65">
      <c r="A65" s="50"/>
      <c r="B65" s="10"/>
      <c r="C65" s="329"/>
      <c r="D65" s="10">
        <f t="shared" si="13"/>
        <v>0</v>
      </c>
      <c r="F65" s="172">
        <f t="shared" si="12"/>
        <v>0</v>
      </c>
      <c r="G65" s="208"/>
      <c r="H65" s="279">
        <f t="shared" si="11"/>
        <v>0</v>
      </c>
    </row>
    <row r="66" spans="1:15" hidden="1" outlineLevel="1" x14ac:dyDescent="0.65">
      <c r="A66" s="11"/>
      <c r="B66" s="10"/>
      <c r="C66" s="329"/>
      <c r="D66" s="10">
        <f t="shared" si="13"/>
        <v>0</v>
      </c>
      <c r="F66" s="172">
        <f t="shared" si="12"/>
        <v>0</v>
      </c>
      <c r="G66" s="208"/>
      <c r="H66" s="279">
        <f t="shared" si="11"/>
        <v>0</v>
      </c>
    </row>
    <row r="67" spans="1:15" ht="63.75" customHeight="1" collapsed="1" thickBot="1" x14ac:dyDescent="0.7">
      <c r="A67" s="18" t="s">
        <v>12</v>
      </c>
      <c r="B67" s="17" t="s">
        <v>200</v>
      </c>
      <c r="C67" s="331" t="s">
        <v>206</v>
      </c>
      <c r="D67" s="79" t="s">
        <v>207</v>
      </c>
      <c r="E67" s="296" t="s">
        <v>208</v>
      </c>
      <c r="G67" s="208"/>
      <c r="J67" s="167"/>
    </row>
    <row r="68" spans="1:15" ht="21.65" customHeight="1" thickBot="1" x14ac:dyDescent="0.7">
      <c r="A68" s="276">
        <f>SUM(D69:D76)</f>
        <v>83240</v>
      </c>
      <c r="B68" s="21" t="s">
        <v>62</v>
      </c>
      <c r="C68" s="327" t="s">
        <v>63</v>
      </c>
      <c r="D68" s="80">
        <f>SUM(D69:D76)</f>
        <v>83240</v>
      </c>
      <c r="E68" s="297">
        <f>SUM(F69:F76)</f>
        <v>127000</v>
      </c>
      <c r="F68" s="603" t="s">
        <v>202</v>
      </c>
      <c r="G68" s="604"/>
      <c r="H68" s="604"/>
      <c r="J68" s="73" t="s">
        <v>332</v>
      </c>
      <c r="K68" s="23" t="s">
        <v>66</v>
      </c>
      <c r="L68" s="24" t="s">
        <v>67</v>
      </c>
      <c r="M68" s="24" t="s">
        <v>68</v>
      </c>
      <c r="N68" s="25" t="s">
        <v>69</v>
      </c>
      <c r="O68" s="26">
        <v>6000</v>
      </c>
    </row>
    <row r="69" spans="1:15" ht="22.5" thickBot="1" x14ac:dyDescent="0.4">
      <c r="A69" s="42" t="s">
        <v>233</v>
      </c>
      <c r="B69" s="43">
        <v>5000</v>
      </c>
      <c r="C69" s="287"/>
      <c r="D69" s="38">
        <f t="shared" ref="D69:D76" si="14">B69*C69</f>
        <v>0</v>
      </c>
      <c r="E69" s="290">
        <f>C69</f>
        <v>0</v>
      </c>
      <c r="F69" s="270"/>
      <c r="G69" s="277"/>
      <c r="H69" s="279">
        <f>E69*B69</f>
        <v>0</v>
      </c>
      <c r="J69" s="31">
        <v>18</v>
      </c>
      <c r="K69" s="27">
        <v>0.6</v>
      </c>
      <c r="L69" s="28">
        <f>J69*K69*10</f>
        <v>107.99999999999999</v>
      </c>
      <c r="M69" s="29">
        <f>L69*1.6</f>
        <v>172.79999999999998</v>
      </c>
      <c r="N69" s="226">
        <f>M69/25</f>
        <v>6.911999999999999</v>
      </c>
      <c r="O69" s="30">
        <f>N69*O68</f>
        <v>41471.999999999993</v>
      </c>
    </row>
    <row r="70" spans="1:15" ht="22.5" thickBot="1" x14ac:dyDescent="0.5">
      <c r="A70" s="40" t="s">
        <v>343</v>
      </c>
      <c r="B70" s="43">
        <v>6000</v>
      </c>
      <c r="C70" s="287"/>
      <c r="D70" s="38">
        <f t="shared" si="14"/>
        <v>0</v>
      </c>
      <c r="E70" s="522">
        <f>7+2</f>
        <v>9</v>
      </c>
      <c r="F70" s="464">
        <f>E70*B70</f>
        <v>54000</v>
      </c>
      <c r="G70" s="278"/>
      <c r="J70" s="143"/>
      <c r="K70" s="143"/>
      <c r="L70" s="143"/>
    </row>
    <row r="71" spans="1:15" x14ac:dyDescent="0.35">
      <c r="A71" s="40" t="s">
        <v>234</v>
      </c>
      <c r="B71" s="43">
        <v>6000</v>
      </c>
      <c r="C71" s="288">
        <v>6</v>
      </c>
      <c r="D71" s="38">
        <f t="shared" si="14"/>
        <v>36000</v>
      </c>
      <c r="E71" s="496">
        <f>6</f>
        <v>6</v>
      </c>
      <c r="F71" s="495">
        <f>E71*B71</f>
        <v>36000</v>
      </c>
      <c r="G71" s="278"/>
      <c r="J71" s="73" t="str">
        <f>A72</f>
        <v>aljzat betonozás wc</v>
      </c>
      <c r="K71" s="23" t="s">
        <v>66</v>
      </c>
      <c r="L71" s="24" t="s">
        <v>67</v>
      </c>
      <c r="M71" s="24" t="s">
        <v>68</v>
      </c>
      <c r="N71" s="25" t="s">
        <v>69</v>
      </c>
      <c r="O71" s="26">
        <v>1500</v>
      </c>
    </row>
    <row r="72" spans="1:15" s="242" customFormat="1" ht="22.5" thickBot="1" x14ac:dyDescent="0.4">
      <c r="A72" s="40" t="s">
        <v>235</v>
      </c>
      <c r="B72" s="38">
        <v>2500</v>
      </c>
      <c r="C72" s="287"/>
      <c r="D72" s="38">
        <f t="shared" si="14"/>
        <v>0</v>
      </c>
      <c r="E72" s="290"/>
      <c r="F72" s="279">
        <f>E72*B72</f>
        <v>0</v>
      </c>
      <c r="G72" s="278"/>
      <c r="H72"/>
      <c r="I72"/>
      <c r="J72" s="243">
        <v>1.5</v>
      </c>
      <c r="K72" s="244">
        <v>5</v>
      </c>
      <c r="L72" s="245">
        <f>J72*K72*10</f>
        <v>75</v>
      </c>
      <c r="M72" s="246">
        <f>L72*1.6</f>
        <v>120</v>
      </c>
      <c r="N72" s="247">
        <f>M72/20</f>
        <v>6</v>
      </c>
      <c r="O72" s="248">
        <f>N72*O71</f>
        <v>9000</v>
      </c>
    </row>
    <row r="73" spans="1:15" x14ac:dyDescent="0.35">
      <c r="A73" s="40" t="s">
        <v>236</v>
      </c>
      <c r="B73" s="38">
        <v>5000</v>
      </c>
      <c r="C73" s="288">
        <f>N76</f>
        <v>6.4480000000000004</v>
      </c>
      <c r="D73" s="38">
        <f t="shared" si="14"/>
        <v>32240.000000000004</v>
      </c>
      <c r="E73" s="496">
        <v>5</v>
      </c>
      <c r="F73" s="495">
        <f>E73*B73</f>
        <v>25000</v>
      </c>
      <c r="G73" s="278"/>
    </row>
    <row r="74" spans="1:15" ht="22.5" thickBot="1" x14ac:dyDescent="0.4">
      <c r="A74" s="40" t="s">
        <v>364</v>
      </c>
      <c r="B74" s="38">
        <v>5000</v>
      </c>
      <c r="C74" s="336">
        <v>3</v>
      </c>
      <c r="D74" s="38"/>
      <c r="E74" s="336">
        <f>C74</f>
        <v>3</v>
      </c>
      <c r="G74" s="278"/>
      <c r="H74" s="279"/>
    </row>
    <row r="75" spans="1:15" ht="46.5" x14ac:dyDescent="0.35">
      <c r="A75" s="40" t="s">
        <v>237</v>
      </c>
      <c r="B75" s="38">
        <v>5000</v>
      </c>
      <c r="C75" s="152">
        <v>3</v>
      </c>
      <c r="D75" s="38">
        <f t="shared" si="14"/>
        <v>15000</v>
      </c>
      <c r="E75" s="398">
        <f>C75</f>
        <v>3</v>
      </c>
      <c r="G75" s="278"/>
      <c r="H75" s="279"/>
      <c r="J75" s="73" t="s">
        <v>238</v>
      </c>
      <c r="K75" s="23" t="s">
        <v>66</v>
      </c>
      <c r="L75" s="24" t="s">
        <v>67</v>
      </c>
      <c r="M75" s="24" t="s">
        <v>68</v>
      </c>
      <c r="N75" s="25" t="s">
        <v>69</v>
      </c>
      <c r="O75" s="26">
        <v>2000</v>
      </c>
    </row>
    <row r="76" spans="1:15" ht="22.5" thickBot="1" x14ac:dyDescent="0.4">
      <c r="A76" s="229" t="s">
        <v>337</v>
      </c>
      <c r="B76" s="38">
        <v>8000</v>
      </c>
      <c r="C76" s="152"/>
      <c r="D76" s="38">
        <f t="shared" si="14"/>
        <v>0</v>
      </c>
      <c r="E76" s="398">
        <v>1.5</v>
      </c>
      <c r="F76" s="458">
        <f>E76*B76</f>
        <v>12000</v>
      </c>
      <c r="G76" s="278"/>
      <c r="J76" s="31">
        <f>Díj!C15</f>
        <v>20.149999999999999</v>
      </c>
      <c r="K76" s="27">
        <v>0.5</v>
      </c>
      <c r="L76" s="28">
        <f>J76*K76*10</f>
        <v>100.75</v>
      </c>
      <c r="M76" s="29">
        <f>L76*1.6</f>
        <v>161.20000000000002</v>
      </c>
      <c r="N76" s="32">
        <f>M76/25</f>
        <v>6.4480000000000004</v>
      </c>
      <c r="O76" s="30">
        <f>N76*O75</f>
        <v>12896</v>
      </c>
    </row>
    <row r="77" spans="1:15" ht="63.75" customHeight="1" thickBot="1" x14ac:dyDescent="0.7">
      <c r="A77" s="18" t="s">
        <v>239</v>
      </c>
      <c r="B77" s="17" t="s">
        <v>200</v>
      </c>
      <c r="C77" s="331" t="s">
        <v>206</v>
      </c>
      <c r="D77" s="79" t="s">
        <v>207</v>
      </c>
      <c r="E77" s="296" t="s">
        <v>208</v>
      </c>
      <c r="J77" s="48"/>
      <c r="K77" s="394"/>
      <c r="M77" s="33"/>
    </row>
    <row r="78" spans="1:15" ht="22.5" thickBot="1" x14ac:dyDescent="0.7">
      <c r="A78" s="49">
        <f>SUM(D79:D84)</f>
        <v>0</v>
      </c>
      <c r="B78" s="21" t="s">
        <v>62</v>
      </c>
      <c r="C78" s="327" t="s">
        <v>63</v>
      </c>
      <c r="D78" s="80">
        <f>SUM(D79:D86)</f>
        <v>0</v>
      </c>
      <c r="E78" s="297">
        <f>SUM(F79:F83)</f>
        <v>0</v>
      </c>
      <c r="F78" s="596" t="s">
        <v>202</v>
      </c>
      <c r="G78" s="597"/>
      <c r="H78" s="597"/>
    </row>
    <row r="79" spans="1:15" s="233" customFormat="1" hidden="1" outlineLevel="1" x14ac:dyDescent="0.4">
      <c r="A79" s="229" t="s">
        <v>240</v>
      </c>
      <c r="B79" s="230">
        <f>K84/6</f>
        <v>2816.6666666666665</v>
      </c>
      <c r="C79" s="337"/>
      <c r="D79" s="231">
        <f t="shared" ref="D79:D86" si="15">B79*C79</f>
        <v>0</v>
      </c>
      <c r="E79" s="302">
        <f>C79</f>
        <v>0</v>
      </c>
      <c r="F79" s="232"/>
      <c r="G79" s="209"/>
      <c r="H79" s="279">
        <f t="shared" ref="H79:H86" si="16">E79*B79</f>
        <v>0</v>
      </c>
      <c r="I79"/>
      <c r="J79" s="233" t="s">
        <v>241</v>
      </c>
      <c r="K79" s="235">
        <f>L79*1.3</f>
        <v>58500</v>
      </c>
      <c r="L79" s="234">
        <v>45000</v>
      </c>
    </row>
    <row r="80" spans="1:15" s="233" customFormat="1" hidden="1" outlineLevel="1" x14ac:dyDescent="0.4">
      <c r="A80" s="229" t="s">
        <v>242</v>
      </c>
      <c r="B80" s="230">
        <f>K83/6</f>
        <v>9316.6666666666661</v>
      </c>
      <c r="C80" s="337"/>
      <c r="D80" s="230">
        <f t="shared" si="15"/>
        <v>0</v>
      </c>
      <c r="E80" s="302">
        <f>C80</f>
        <v>0</v>
      </c>
      <c r="F80" s="232"/>
      <c r="G80" s="210"/>
      <c r="H80" s="279">
        <f t="shared" si="16"/>
        <v>0</v>
      </c>
      <c r="I80"/>
      <c r="J80" s="233" t="s">
        <v>243</v>
      </c>
      <c r="K80" s="235">
        <f t="shared" ref="K80:K86" si="17">L80*1.3</f>
        <v>89700</v>
      </c>
      <c r="L80" s="234">
        <v>69000</v>
      </c>
    </row>
    <row r="81" spans="1:15" s="233" customFormat="1" hidden="1" outlineLevel="1" x14ac:dyDescent="0.4">
      <c r="A81" s="229" t="s">
        <v>244</v>
      </c>
      <c r="B81" s="230">
        <v>33000</v>
      </c>
      <c r="C81" s="338"/>
      <c r="D81" s="230">
        <f t="shared" si="15"/>
        <v>0</v>
      </c>
      <c r="E81" s="303"/>
      <c r="F81" s="232"/>
      <c r="G81" s="210"/>
      <c r="H81" s="279">
        <f t="shared" si="16"/>
        <v>0</v>
      </c>
      <c r="I81"/>
      <c r="J81" s="233" t="s">
        <v>245</v>
      </c>
      <c r="K81" s="235">
        <f t="shared" si="17"/>
        <v>113100</v>
      </c>
      <c r="L81" s="234">
        <v>87000</v>
      </c>
    </row>
    <row r="82" spans="1:15" s="233" customFormat="1" hidden="1" outlineLevel="1" x14ac:dyDescent="0.4">
      <c r="A82" s="229" t="s">
        <v>246</v>
      </c>
      <c r="B82" s="231">
        <v>6000</v>
      </c>
      <c r="C82" s="339"/>
      <c r="D82" s="230">
        <f t="shared" si="15"/>
        <v>0</v>
      </c>
      <c r="E82" s="304">
        <f>C82</f>
        <v>0</v>
      </c>
      <c r="F82" s="232"/>
      <c r="G82" s="210"/>
      <c r="H82" s="279">
        <f t="shared" si="16"/>
        <v>0</v>
      </c>
      <c r="I82"/>
      <c r="J82" s="233" t="s">
        <v>247</v>
      </c>
      <c r="K82" s="235">
        <f t="shared" si="17"/>
        <v>42900</v>
      </c>
      <c r="L82" s="234">
        <v>33000</v>
      </c>
    </row>
    <row r="83" spans="1:15" s="233" customFormat="1" hidden="1" outlineLevel="1" x14ac:dyDescent="0.4">
      <c r="A83" s="229" t="s">
        <v>248</v>
      </c>
      <c r="B83" s="231">
        <v>10000</v>
      </c>
      <c r="C83" s="340"/>
      <c r="D83" s="230">
        <f t="shared" si="15"/>
        <v>0</v>
      </c>
      <c r="E83" s="305">
        <f>C83</f>
        <v>0</v>
      </c>
      <c r="F83" s="232"/>
      <c r="G83" s="210"/>
      <c r="H83" s="279">
        <f t="shared" si="16"/>
        <v>0</v>
      </c>
      <c r="I83"/>
      <c r="J83" s="233" t="s">
        <v>249</v>
      </c>
      <c r="K83" s="235">
        <f t="shared" si="17"/>
        <v>55900</v>
      </c>
      <c r="L83" s="234">
        <v>43000</v>
      </c>
    </row>
    <row r="84" spans="1:15" s="233" customFormat="1" hidden="1" outlineLevel="1" x14ac:dyDescent="0.4">
      <c r="A84" s="229" t="s">
        <v>117</v>
      </c>
      <c r="B84" s="231">
        <v>2000</v>
      </c>
      <c r="C84" s="341"/>
      <c r="D84" s="230">
        <f t="shared" si="15"/>
        <v>0</v>
      </c>
      <c r="E84" s="306">
        <f>C84</f>
        <v>0</v>
      </c>
      <c r="F84" s="232"/>
      <c r="G84" s="210"/>
      <c r="H84" s="279">
        <f t="shared" si="16"/>
        <v>0</v>
      </c>
      <c r="I84"/>
      <c r="J84" s="233" t="s">
        <v>250</v>
      </c>
      <c r="K84" s="235">
        <f t="shared" si="17"/>
        <v>16900</v>
      </c>
      <c r="L84" s="234">
        <v>13000</v>
      </c>
    </row>
    <row r="85" spans="1:15" s="233" customFormat="1" hidden="1" outlineLevel="1" x14ac:dyDescent="0.4">
      <c r="A85" s="229" t="s">
        <v>251</v>
      </c>
      <c r="B85" s="231">
        <v>3000</v>
      </c>
      <c r="C85" s="342"/>
      <c r="D85" s="230">
        <f t="shared" si="15"/>
        <v>0</v>
      </c>
      <c r="E85" s="307">
        <f>C85</f>
        <v>0</v>
      </c>
      <c r="F85" s="232"/>
      <c r="G85" s="210"/>
      <c r="H85" s="279">
        <f t="shared" si="16"/>
        <v>0</v>
      </c>
      <c r="I85"/>
      <c r="J85" s="233" t="s">
        <v>250</v>
      </c>
      <c r="K85" s="235">
        <f t="shared" si="17"/>
        <v>16900</v>
      </c>
      <c r="L85" s="234">
        <v>13000</v>
      </c>
    </row>
    <row r="86" spans="1:15" s="233" customFormat="1" hidden="1" outlineLevel="1" x14ac:dyDescent="0.4">
      <c r="A86" s="229" t="s">
        <v>252</v>
      </c>
      <c r="B86" s="231">
        <v>6000</v>
      </c>
      <c r="C86" s="342"/>
      <c r="D86" s="230">
        <f t="shared" si="15"/>
        <v>0</v>
      </c>
      <c r="E86" s="307">
        <f>C86</f>
        <v>0</v>
      </c>
      <c r="F86" s="232"/>
      <c r="G86" s="210"/>
      <c r="H86" s="279">
        <f t="shared" si="16"/>
        <v>0</v>
      </c>
      <c r="I86"/>
      <c r="J86" s="233" t="s">
        <v>250</v>
      </c>
      <c r="K86" s="235">
        <f t="shared" si="17"/>
        <v>16900</v>
      </c>
      <c r="L86" s="234">
        <v>13000</v>
      </c>
    </row>
    <row r="87" spans="1:15" ht="63.75" customHeight="1" collapsed="1" thickBot="1" x14ac:dyDescent="0.7">
      <c r="A87" s="18" t="s">
        <v>253</v>
      </c>
      <c r="B87" s="17" t="s">
        <v>200</v>
      </c>
      <c r="C87" s="331" t="s">
        <v>206</v>
      </c>
      <c r="D87" s="79" t="s">
        <v>207</v>
      </c>
      <c r="E87" s="296" t="s">
        <v>208</v>
      </c>
      <c r="G87" s="211"/>
      <c r="H87" s="281"/>
    </row>
    <row r="88" spans="1:15" ht="22.5" thickBot="1" x14ac:dyDescent="0.7">
      <c r="A88" s="49">
        <f>SUM(D89:D96)</f>
        <v>141031.52000000002</v>
      </c>
      <c r="B88" s="21" t="s">
        <v>62</v>
      </c>
      <c r="C88" s="327" t="s">
        <v>63</v>
      </c>
      <c r="D88" s="80">
        <f>SUM(D89:D96)</f>
        <v>141031.52000000002</v>
      </c>
      <c r="E88" s="297">
        <f>SUM(F89:F95)</f>
        <v>170731.52000000002</v>
      </c>
      <c r="F88" s="596" t="s">
        <v>202</v>
      </c>
      <c r="G88" s="597"/>
      <c r="H88" s="597"/>
    </row>
    <row r="89" spans="1:15" x14ac:dyDescent="0.65">
      <c r="A89" s="13" t="s">
        <v>254</v>
      </c>
      <c r="B89" s="275">
        <v>7000</v>
      </c>
      <c r="C89" s="343">
        <f>N90</f>
        <v>5.2377600000000006</v>
      </c>
      <c r="D89" s="12">
        <f t="shared" ref="D89:D96" si="18">B89*C89</f>
        <v>36664.320000000007</v>
      </c>
      <c r="E89" s="489">
        <f t="shared" ref="E89:E96" si="19">C89</f>
        <v>5.2377600000000006</v>
      </c>
      <c r="F89" s="488">
        <f>E89*B89</f>
        <v>36664.320000000007</v>
      </c>
      <c r="G89" s="277"/>
      <c r="J89" s="369" t="s">
        <v>255</v>
      </c>
      <c r="K89" s="370" t="s">
        <v>66</v>
      </c>
      <c r="L89" s="371" t="s">
        <v>67</v>
      </c>
      <c r="M89" s="371" t="s">
        <v>68</v>
      </c>
      <c r="N89" s="372" t="s">
        <v>69</v>
      </c>
      <c r="O89" s="373">
        <v>7000</v>
      </c>
    </row>
    <row r="90" spans="1:15" s="58" customFormat="1" ht="31.5" thickBot="1" x14ac:dyDescent="0.4">
      <c r="A90" s="183" t="s">
        <v>256</v>
      </c>
      <c r="B90" s="183">
        <v>5000</v>
      </c>
      <c r="C90" s="183"/>
      <c r="D90" s="183">
        <f t="shared" si="18"/>
        <v>0</v>
      </c>
      <c r="E90" s="498">
        <v>2</v>
      </c>
      <c r="F90" s="495">
        <f>E90*B90</f>
        <v>10000</v>
      </c>
      <c r="G90" s="274"/>
      <c r="J90" s="374">
        <f>Díj!C78+Díj!C77</f>
        <v>10.23</v>
      </c>
      <c r="K90" s="375">
        <v>0.8</v>
      </c>
      <c r="L90" s="376">
        <f>J90*K90*10</f>
        <v>81.84</v>
      </c>
      <c r="M90" s="377">
        <f>L90*1.6</f>
        <v>130.94400000000002</v>
      </c>
      <c r="N90" s="378">
        <f>M90/25</f>
        <v>5.2377600000000006</v>
      </c>
      <c r="O90" s="379">
        <f>N90*O89</f>
        <v>36664.320000000007</v>
      </c>
    </row>
    <row r="91" spans="1:15" ht="22.5" thickBot="1" x14ac:dyDescent="0.7">
      <c r="A91" s="40" t="s">
        <v>257</v>
      </c>
      <c r="B91" s="10">
        <v>800</v>
      </c>
      <c r="C91" s="344">
        <f>Díj!C16</f>
        <v>25.25</v>
      </c>
      <c r="D91" s="12">
        <f t="shared" si="18"/>
        <v>20200</v>
      </c>
      <c r="E91" s="308">
        <f t="shared" si="19"/>
        <v>25.25</v>
      </c>
      <c r="G91" s="274"/>
      <c r="H91" s="279"/>
    </row>
    <row r="92" spans="1:15" x14ac:dyDescent="0.65">
      <c r="A92" s="13" t="s">
        <v>258</v>
      </c>
      <c r="B92" s="368">
        <v>4000</v>
      </c>
      <c r="C92" s="344">
        <f>N93</f>
        <v>10.316800000000001</v>
      </c>
      <c r="D92" s="12">
        <f t="shared" si="18"/>
        <v>41267.200000000004</v>
      </c>
      <c r="E92" s="496">
        <f t="shared" si="19"/>
        <v>10.316800000000001</v>
      </c>
      <c r="F92" s="495">
        <f>E92*B92</f>
        <v>41267.200000000004</v>
      </c>
      <c r="G92" s="274"/>
      <c r="J92" s="369" t="s">
        <v>259</v>
      </c>
      <c r="K92" s="370" t="s">
        <v>66</v>
      </c>
      <c r="L92" s="371" t="s">
        <v>67</v>
      </c>
      <c r="M92" s="371" t="s">
        <v>68</v>
      </c>
      <c r="N92" s="372" t="s">
        <v>69</v>
      </c>
      <c r="O92" s="373">
        <v>4000</v>
      </c>
    </row>
    <row r="93" spans="1:15" ht="22.5" thickBot="1" x14ac:dyDescent="0.7">
      <c r="A93" s="561" t="s">
        <v>383</v>
      </c>
      <c r="B93" s="562">
        <v>3000</v>
      </c>
      <c r="C93" s="557">
        <v>7</v>
      </c>
      <c r="D93" s="563">
        <f t="shared" si="18"/>
        <v>21000</v>
      </c>
      <c r="E93" s="557">
        <f>7+6</f>
        <v>13</v>
      </c>
      <c r="F93" s="564">
        <f>E93*B93</f>
        <v>39000</v>
      </c>
      <c r="G93" s="565"/>
      <c r="H93" s="558"/>
      <c r="J93" s="374">
        <f>Díj!C15</f>
        <v>20.149999999999999</v>
      </c>
      <c r="K93" s="375">
        <v>0.8</v>
      </c>
      <c r="L93" s="376">
        <f>J93*K93*10</f>
        <v>161.20000000000002</v>
      </c>
      <c r="M93" s="377">
        <f>L93*1.6</f>
        <v>257.92</v>
      </c>
      <c r="N93" s="378">
        <f>M93/25</f>
        <v>10.316800000000001</v>
      </c>
      <c r="O93" s="379">
        <f>N93*O92</f>
        <v>41267.200000000004</v>
      </c>
    </row>
    <row r="94" spans="1:15" ht="21" customHeight="1" x14ac:dyDescent="0.65">
      <c r="A94" s="40" t="s">
        <v>260</v>
      </c>
      <c r="B94" s="10">
        <v>2300</v>
      </c>
      <c r="C94" s="333">
        <v>3</v>
      </c>
      <c r="D94" s="12">
        <f t="shared" si="18"/>
        <v>6900</v>
      </c>
      <c r="E94" s="515">
        <v>6</v>
      </c>
      <c r="F94" s="495">
        <f>E94*B94</f>
        <v>13800</v>
      </c>
      <c r="G94" s="274"/>
      <c r="J94" s="82"/>
    </row>
    <row r="95" spans="1:15" ht="21" customHeight="1" x14ac:dyDescent="0.65">
      <c r="A95" s="40" t="s">
        <v>261</v>
      </c>
      <c r="B95" s="10">
        <v>15000</v>
      </c>
      <c r="C95" s="367">
        <v>1</v>
      </c>
      <c r="D95" s="12">
        <f t="shared" si="18"/>
        <v>15000</v>
      </c>
      <c r="E95" s="487">
        <v>2</v>
      </c>
      <c r="F95" s="488">
        <f>E95*B95</f>
        <v>30000</v>
      </c>
      <c r="G95" s="208"/>
      <c r="J95" s="82"/>
    </row>
    <row r="96" spans="1:15" hidden="1" outlineLevel="1" x14ac:dyDescent="0.65">
      <c r="A96" s="40" t="s">
        <v>262</v>
      </c>
      <c r="B96" s="10">
        <v>1103</v>
      </c>
      <c r="C96" s="346"/>
      <c r="D96" s="12">
        <f t="shared" si="18"/>
        <v>0</v>
      </c>
      <c r="E96" s="309">
        <f t="shared" si="19"/>
        <v>0</v>
      </c>
      <c r="F96" s="172"/>
      <c r="G96" s="208"/>
      <c r="H96" s="279">
        <f t="shared" ref="H96" si="20">E96*B96</f>
        <v>0</v>
      </c>
    </row>
    <row r="97" spans="1:15" ht="63.75" customHeight="1" collapsed="1" thickBot="1" x14ac:dyDescent="0.7">
      <c r="A97" s="18" t="s">
        <v>263</v>
      </c>
      <c r="B97" s="17" t="s">
        <v>200</v>
      </c>
      <c r="C97" s="331" t="s">
        <v>206</v>
      </c>
      <c r="D97" s="79" t="s">
        <v>207</v>
      </c>
      <c r="E97" s="296" t="s">
        <v>208</v>
      </c>
      <c r="G97" s="208"/>
      <c r="H97" s="279"/>
    </row>
    <row r="98" spans="1:15" ht="22.5" thickBot="1" x14ac:dyDescent="0.7">
      <c r="A98" s="49">
        <f>SUM(D99:D107)</f>
        <v>186327.25</v>
      </c>
      <c r="B98" s="21" t="s">
        <v>62</v>
      </c>
      <c r="C98" s="327" t="s">
        <v>63</v>
      </c>
      <c r="D98" s="80">
        <f>SUM(D99:D107)</f>
        <v>186327.25</v>
      </c>
      <c r="E98" s="310">
        <f>SUM(F99:F106)</f>
        <v>188800</v>
      </c>
      <c r="F98" s="596" t="s">
        <v>202</v>
      </c>
      <c r="G98" s="597"/>
      <c r="H98" s="597"/>
      <c r="J98" s="593"/>
      <c r="K98" s="593"/>
      <c r="L98" s="593"/>
    </row>
    <row r="99" spans="1:15" x14ac:dyDescent="0.35">
      <c r="A99" s="40" t="s">
        <v>264</v>
      </c>
      <c r="B99" s="38">
        <v>7000</v>
      </c>
      <c r="C99" s="347">
        <v>6</v>
      </c>
      <c r="D99" s="38">
        <f t="shared" ref="D99:D106" si="21">B99*C99</f>
        <v>42000</v>
      </c>
      <c r="E99" s="506">
        <v>7</v>
      </c>
      <c r="F99" s="445">
        <f>E99*B99</f>
        <v>49000</v>
      </c>
      <c r="G99" s="277"/>
      <c r="J99" s="22" t="s">
        <v>265</v>
      </c>
      <c r="K99" s="23" t="s">
        <v>66</v>
      </c>
      <c r="L99" s="24" t="s">
        <v>67</v>
      </c>
      <c r="M99" s="24" t="s">
        <v>68</v>
      </c>
      <c r="N99" s="25" t="s">
        <v>69</v>
      </c>
      <c r="O99" s="26">
        <v>7000</v>
      </c>
    </row>
    <row r="100" spans="1:15" ht="31.5" thickBot="1" x14ac:dyDescent="0.4">
      <c r="A100" s="40" t="s">
        <v>266</v>
      </c>
      <c r="B100" s="38">
        <v>6000</v>
      </c>
      <c r="C100" s="347">
        <v>12</v>
      </c>
      <c r="D100" s="38">
        <f t="shared" si="21"/>
        <v>72000</v>
      </c>
      <c r="E100" s="447">
        <v>12</v>
      </c>
      <c r="F100" s="445">
        <f>E100*B100</f>
        <v>72000</v>
      </c>
      <c r="G100" s="278"/>
      <c r="J100" s="446">
        <f>Díj!G113</f>
        <v>56.23</v>
      </c>
      <c r="K100" s="27">
        <v>0.08</v>
      </c>
      <c r="L100" s="28">
        <f>J100*K100*10</f>
        <v>44.984000000000002</v>
      </c>
      <c r="M100" s="29">
        <f>L100*1.6</f>
        <v>71.974400000000003</v>
      </c>
      <c r="N100" s="32">
        <f>M100/25</f>
        <v>2.8789760000000002</v>
      </c>
      <c r="O100" s="30">
        <f>N100*O99</f>
        <v>20152.832000000002</v>
      </c>
    </row>
    <row r="101" spans="1:15" ht="22.5" thickBot="1" x14ac:dyDescent="0.4">
      <c r="A101" s="40" t="s">
        <v>267</v>
      </c>
      <c r="B101" s="38">
        <v>800</v>
      </c>
      <c r="C101" s="348">
        <v>5</v>
      </c>
      <c r="D101" s="38">
        <f t="shared" si="21"/>
        <v>4000</v>
      </c>
      <c r="E101" s="538">
        <v>1</v>
      </c>
      <c r="F101" s="535">
        <f>E101*B101</f>
        <v>800</v>
      </c>
      <c r="G101" s="278"/>
    </row>
    <row r="102" spans="1:15" ht="31" x14ac:dyDescent="0.35">
      <c r="A102" s="40" t="s">
        <v>268</v>
      </c>
      <c r="B102" s="448">
        <v>13000</v>
      </c>
      <c r="C102" s="381">
        <f>Díj!B106/40</f>
        <v>2.9482500000000007</v>
      </c>
      <c r="D102" s="38">
        <f t="shared" si="21"/>
        <v>38327.250000000007</v>
      </c>
      <c r="E102" s="505">
        <v>3</v>
      </c>
      <c r="F102" s="445">
        <f>E102*B102</f>
        <v>39000</v>
      </c>
      <c r="G102" s="278"/>
      <c r="J102" s="22" t="s">
        <v>269</v>
      </c>
      <c r="K102" s="23" t="s">
        <v>66</v>
      </c>
      <c r="L102" s="24" t="s">
        <v>67</v>
      </c>
      <c r="M102" s="24" t="s">
        <v>68</v>
      </c>
      <c r="N102" s="25" t="s">
        <v>69</v>
      </c>
      <c r="O102" s="26">
        <v>6000</v>
      </c>
    </row>
    <row r="103" spans="1:15" ht="31.5" thickBot="1" x14ac:dyDescent="0.4">
      <c r="A103" s="273" t="s">
        <v>270</v>
      </c>
      <c r="B103" s="38">
        <v>12000</v>
      </c>
      <c r="C103" s="382"/>
      <c r="D103" s="38">
        <f t="shared" si="21"/>
        <v>0</v>
      </c>
      <c r="E103" s="383">
        <v>0</v>
      </c>
      <c r="F103" s="270"/>
      <c r="G103" s="278"/>
      <c r="H103" s="279">
        <f t="shared" ref="H103" si="22">E103*B103</f>
        <v>0</v>
      </c>
      <c r="J103" s="446">
        <f>J100</f>
        <v>56.23</v>
      </c>
      <c r="K103" s="27">
        <v>0.2</v>
      </c>
      <c r="L103" s="28">
        <f>J103*K103*10</f>
        <v>112.46000000000001</v>
      </c>
      <c r="M103" s="29">
        <f>L103*1.6</f>
        <v>179.93600000000004</v>
      </c>
      <c r="N103" s="32">
        <f>M103/25</f>
        <v>7.1974400000000012</v>
      </c>
      <c r="O103" s="30">
        <f>N103*O102</f>
        <v>43184.640000000007</v>
      </c>
    </row>
    <row r="104" spans="1:15" s="58" customFormat="1" x14ac:dyDescent="0.35">
      <c r="A104" s="40" t="s">
        <v>271</v>
      </c>
      <c r="B104" s="38">
        <v>2000</v>
      </c>
      <c r="C104" s="349">
        <v>2</v>
      </c>
      <c r="D104" s="38">
        <f t="shared" si="21"/>
        <v>4000</v>
      </c>
      <c r="E104" s="536">
        <v>1</v>
      </c>
      <c r="F104" s="537">
        <f>E104*B104</f>
        <v>2000</v>
      </c>
      <c r="G104" s="278"/>
    </row>
    <row r="105" spans="1:15" s="58" customFormat="1" x14ac:dyDescent="0.35">
      <c r="A105" s="40" t="s">
        <v>272</v>
      </c>
      <c r="B105" s="38">
        <v>3200</v>
      </c>
      <c r="C105" s="348"/>
      <c r="D105" s="38">
        <f t="shared" si="21"/>
        <v>0</v>
      </c>
      <c r="E105" s="312"/>
      <c r="F105" s="81"/>
      <c r="G105" s="278"/>
      <c r="H105" s="282"/>
    </row>
    <row r="106" spans="1:15" x14ac:dyDescent="0.35">
      <c r="A106" s="273" t="s">
        <v>273</v>
      </c>
      <c r="B106" s="38">
        <v>13000</v>
      </c>
      <c r="C106" s="380">
        <v>2</v>
      </c>
      <c r="D106" s="38">
        <f t="shared" si="21"/>
        <v>26000</v>
      </c>
      <c r="E106" s="444">
        <v>2</v>
      </c>
      <c r="F106" s="445">
        <f>E106*B106</f>
        <v>26000</v>
      </c>
      <c r="G106" s="278"/>
    </row>
    <row r="107" spans="1:15" hidden="1" outlineLevel="1" x14ac:dyDescent="0.35">
      <c r="A107" s="61"/>
      <c r="B107" s="38"/>
      <c r="C107" s="348"/>
      <c r="D107" s="38"/>
      <c r="E107" s="312"/>
      <c r="F107" s="173"/>
      <c r="G107" s="210"/>
      <c r="H107" s="279">
        <f>E107*B107</f>
        <v>0</v>
      </c>
    </row>
    <row r="108" spans="1:15" hidden="1" outlineLevel="1" x14ac:dyDescent="0.35">
      <c r="A108" s="40"/>
      <c r="B108" s="38"/>
      <c r="C108" s="348"/>
      <c r="D108" s="38"/>
      <c r="E108" s="312"/>
      <c r="F108" s="173"/>
      <c r="G108" s="210"/>
      <c r="H108" s="279">
        <f t="shared" ref="H108:H114" si="23">E108*B108</f>
        <v>0</v>
      </c>
    </row>
    <row r="109" spans="1:15" hidden="1" outlineLevel="1" x14ac:dyDescent="0.35">
      <c r="A109" s="11"/>
      <c r="B109" s="10"/>
      <c r="C109" s="348"/>
      <c r="D109" s="38"/>
      <c r="E109" s="312"/>
      <c r="F109" s="173"/>
      <c r="G109" s="210"/>
      <c r="H109" s="279">
        <f t="shared" si="23"/>
        <v>0</v>
      </c>
    </row>
    <row r="110" spans="1:15" hidden="1" outlineLevel="1" x14ac:dyDescent="0.35">
      <c r="A110" s="40" t="s">
        <v>274</v>
      </c>
      <c r="B110" s="38">
        <v>160</v>
      </c>
      <c r="C110" s="348"/>
      <c r="D110" s="38"/>
      <c r="E110" s="312"/>
      <c r="F110" s="173"/>
      <c r="G110" s="210"/>
      <c r="H110" s="279">
        <f t="shared" si="23"/>
        <v>0</v>
      </c>
    </row>
    <row r="111" spans="1:15" hidden="1" outlineLevel="1" x14ac:dyDescent="0.35">
      <c r="A111" s="40" t="s">
        <v>275</v>
      </c>
      <c r="B111" s="38">
        <v>1500</v>
      </c>
      <c r="C111" s="348"/>
      <c r="D111" s="38"/>
      <c r="E111" s="312"/>
      <c r="F111" s="173"/>
      <c r="G111" s="210"/>
      <c r="H111" s="279">
        <f t="shared" si="23"/>
        <v>0</v>
      </c>
    </row>
    <row r="112" spans="1:15" hidden="1" outlineLevel="1" x14ac:dyDescent="0.35">
      <c r="A112" s="11"/>
      <c r="B112" s="10">
        <v>0</v>
      </c>
      <c r="C112" s="348"/>
      <c r="D112" s="38"/>
      <c r="E112" s="312"/>
      <c r="F112" s="173"/>
      <c r="G112" s="210"/>
      <c r="H112" s="279">
        <f t="shared" si="23"/>
        <v>0</v>
      </c>
    </row>
    <row r="113" spans="1:8" hidden="1" outlineLevel="1" x14ac:dyDescent="0.35">
      <c r="A113" s="11"/>
      <c r="B113" s="10">
        <v>0</v>
      </c>
      <c r="C113" s="348"/>
      <c r="D113" s="38"/>
      <c r="E113" s="312"/>
      <c r="F113" s="173"/>
      <c r="G113" s="210"/>
      <c r="H113" s="279">
        <f t="shared" si="23"/>
        <v>0</v>
      </c>
    </row>
    <row r="114" spans="1:8" hidden="1" outlineLevel="1" x14ac:dyDescent="0.35">
      <c r="A114" s="11"/>
      <c r="B114" s="10">
        <v>0</v>
      </c>
      <c r="C114" s="348"/>
      <c r="D114" s="38"/>
      <c r="E114" s="312"/>
      <c r="F114" s="173"/>
      <c r="G114" s="210"/>
      <c r="H114" s="279">
        <f t="shared" si="23"/>
        <v>0</v>
      </c>
    </row>
    <row r="115" spans="1:8" hidden="1" outlineLevel="1" x14ac:dyDescent="0.65">
      <c r="F115" s="173"/>
      <c r="G115" s="208"/>
    </row>
    <row r="116" spans="1:8" ht="63.75" customHeight="1" collapsed="1" thickBot="1" x14ac:dyDescent="0.7">
      <c r="A116" s="18" t="s">
        <v>276</v>
      </c>
      <c r="B116" s="17" t="s">
        <v>200</v>
      </c>
      <c r="C116" s="331" t="s">
        <v>206</v>
      </c>
      <c r="D116" s="79" t="s">
        <v>207</v>
      </c>
      <c r="E116" s="296" t="s">
        <v>208</v>
      </c>
      <c r="H116" s="279"/>
    </row>
    <row r="117" spans="1:8" ht="22.5" thickBot="1" x14ac:dyDescent="0.7">
      <c r="A117" s="49">
        <f>SUM(D118:D132)</f>
        <v>9000</v>
      </c>
      <c r="B117" s="21" t="s">
        <v>62</v>
      </c>
      <c r="C117" s="327" t="s">
        <v>63</v>
      </c>
      <c r="D117" s="80">
        <f>SUM(D118:D133)</f>
        <v>9000</v>
      </c>
      <c r="E117" s="297">
        <f>SUM(F118:F132)</f>
        <v>9000</v>
      </c>
      <c r="F117" s="596" t="s">
        <v>202</v>
      </c>
      <c r="G117" s="597"/>
      <c r="H117" s="597"/>
    </row>
    <row r="118" spans="1:8" x14ac:dyDescent="0.35">
      <c r="A118" s="40" t="s">
        <v>277</v>
      </c>
      <c r="B118" s="38">
        <v>6000</v>
      </c>
      <c r="C118" s="404">
        <v>0.75</v>
      </c>
      <c r="D118" s="43">
        <f>B118*C118</f>
        <v>4500</v>
      </c>
      <c r="E118" s="473">
        <f>C118</f>
        <v>0.75</v>
      </c>
      <c r="F118" s="474">
        <f>E118*B118</f>
        <v>4500</v>
      </c>
      <c r="G118" s="209"/>
    </row>
    <row r="119" spans="1:8" x14ac:dyDescent="0.35">
      <c r="A119" s="40" t="s">
        <v>278</v>
      </c>
      <c r="B119" s="38">
        <v>6000</v>
      </c>
      <c r="C119" s="404">
        <v>0.75</v>
      </c>
      <c r="D119" s="38">
        <f>B119*C119</f>
        <v>4500</v>
      </c>
      <c r="E119" s="473">
        <f>C119</f>
        <v>0.75</v>
      </c>
      <c r="F119" s="474">
        <f>E119*B119</f>
        <v>4500</v>
      </c>
      <c r="G119" s="210"/>
    </row>
    <row r="120" spans="1:8" x14ac:dyDescent="0.35">
      <c r="A120" s="40" t="s">
        <v>279</v>
      </c>
      <c r="B120" s="38">
        <v>800</v>
      </c>
      <c r="C120" s="348"/>
      <c r="D120" s="38">
        <f>B120*C120</f>
        <v>0</v>
      </c>
      <c r="E120" s="312">
        <f t="shared" ref="E120:E132" si="24">C120</f>
        <v>0</v>
      </c>
      <c r="G120" s="210"/>
      <c r="H120" s="279">
        <f t="shared" ref="H120:H133" si="25">E120*B120</f>
        <v>0</v>
      </c>
    </row>
    <row r="121" spans="1:8" x14ac:dyDescent="0.35">
      <c r="A121" s="42" t="s">
        <v>280</v>
      </c>
      <c r="B121" s="43">
        <v>5000</v>
      </c>
      <c r="C121" s="350"/>
      <c r="D121" s="38">
        <f>B121*C121</f>
        <v>0</v>
      </c>
      <c r="E121" s="313">
        <f t="shared" si="24"/>
        <v>0</v>
      </c>
      <c r="F121" s="172"/>
      <c r="G121" s="210"/>
      <c r="H121" s="279">
        <f t="shared" si="25"/>
        <v>0</v>
      </c>
    </row>
    <row r="122" spans="1:8" x14ac:dyDescent="0.35">
      <c r="A122" s="40" t="s">
        <v>281</v>
      </c>
      <c r="B122" s="38">
        <v>1500</v>
      </c>
      <c r="C122" s="350"/>
      <c r="D122" s="38">
        <f t="shared" ref="D122:D132" si="26">B122*C122</f>
        <v>0</v>
      </c>
      <c r="E122" s="313">
        <f t="shared" si="24"/>
        <v>0</v>
      </c>
      <c r="F122" s="173"/>
      <c r="G122" s="210"/>
      <c r="H122" s="279">
        <f t="shared" si="25"/>
        <v>0</v>
      </c>
    </row>
    <row r="123" spans="1:8" hidden="1" outlineLevel="1" x14ac:dyDescent="0.35">
      <c r="C123" s="351">
        <v>0</v>
      </c>
      <c r="D123" s="38">
        <f t="shared" si="26"/>
        <v>0</v>
      </c>
      <c r="E123" s="314">
        <f t="shared" si="24"/>
        <v>0</v>
      </c>
      <c r="F123" s="173">
        <f t="shared" ref="F123:F132" si="27">D123</f>
        <v>0</v>
      </c>
      <c r="G123" s="210"/>
      <c r="H123" s="279">
        <f t="shared" si="25"/>
        <v>0</v>
      </c>
    </row>
    <row r="124" spans="1:8" hidden="1" outlineLevel="1" x14ac:dyDescent="0.65">
      <c r="A124" s="40" t="s">
        <v>282</v>
      </c>
      <c r="B124" s="38"/>
      <c r="C124" s="329">
        <v>0</v>
      </c>
      <c r="D124" s="38">
        <f t="shared" si="26"/>
        <v>0</v>
      </c>
      <c r="E124" s="314">
        <f t="shared" si="24"/>
        <v>0</v>
      </c>
      <c r="F124" s="172">
        <f t="shared" si="27"/>
        <v>0</v>
      </c>
      <c r="G124" s="210"/>
      <c r="H124" s="279">
        <f t="shared" si="25"/>
        <v>0</v>
      </c>
    </row>
    <row r="125" spans="1:8" hidden="1" outlineLevel="1" x14ac:dyDescent="0.65">
      <c r="A125" s="40" t="s">
        <v>283</v>
      </c>
      <c r="B125" s="38"/>
      <c r="C125" s="329">
        <v>0</v>
      </c>
      <c r="D125" s="38">
        <f t="shared" si="26"/>
        <v>0</v>
      </c>
      <c r="E125" s="314">
        <f t="shared" si="24"/>
        <v>0</v>
      </c>
      <c r="F125" s="172">
        <f t="shared" si="27"/>
        <v>0</v>
      </c>
      <c r="G125" s="208"/>
      <c r="H125" s="279">
        <f t="shared" si="25"/>
        <v>0</v>
      </c>
    </row>
    <row r="126" spans="1:8" hidden="1" outlineLevel="1" x14ac:dyDescent="0.65">
      <c r="A126" s="11"/>
      <c r="B126" s="10">
        <v>0</v>
      </c>
      <c r="C126" s="329">
        <v>0</v>
      </c>
      <c r="D126" s="38">
        <f t="shared" si="26"/>
        <v>0</v>
      </c>
      <c r="E126" s="314">
        <f t="shared" si="24"/>
        <v>0</v>
      </c>
      <c r="F126" s="172">
        <f t="shared" si="27"/>
        <v>0</v>
      </c>
      <c r="G126" s="208"/>
      <c r="H126" s="279">
        <f t="shared" si="25"/>
        <v>0</v>
      </c>
    </row>
    <row r="127" spans="1:8" hidden="1" outlineLevel="1" x14ac:dyDescent="0.65">
      <c r="A127" s="11"/>
      <c r="B127" s="10">
        <v>0</v>
      </c>
      <c r="C127" s="329">
        <v>0</v>
      </c>
      <c r="D127" s="38">
        <f t="shared" si="26"/>
        <v>0</v>
      </c>
      <c r="E127" s="314">
        <f t="shared" si="24"/>
        <v>0</v>
      </c>
      <c r="F127" s="172">
        <f t="shared" si="27"/>
        <v>0</v>
      </c>
      <c r="G127" s="208"/>
      <c r="H127" s="279">
        <f t="shared" si="25"/>
        <v>0</v>
      </c>
    </row>
    <row r="128" spans="1:8" hidden="1" outlineLevel="1" x14ac:dyDescent="0.65">
      <c r="A128" s="11"/>
      <c r="B128" s="10">
        <v>0</v>
      </c>
      <c r="C128" s="329">
        <v>0</v>
      </c>
      <c r="D128" s="38">
        <f t="shared" si="26"/>
        <v>0</v>
      </c>
      <c r="E128" s="314">
        <f t="shared" si="24"/>
        <v>0</v>
      </c>
      <c r="F128" s="172">
        <f t="shared" si="27"/>
        <v>0</v>
      </c>
      <c r="G128" s="208"/>
      <c r="H128" s="279">
        <f t="shared" si="25"/>
        <v>0</v>
      </c>
    </row>
    <row r="129" spans="1:9" hidden="1" outlineLevel="1" x14ac:dyDescent="0.65">
      <c r="A129" s="11"/>
      <c r="B129" s="10">
        <v>0</v>
      </c>
      <c r="C129" s="329">
        <v>0</v>
      </c>
      <c r="D129" s="38">
        <f t="shared" si="26"/>
        <v>0</v>
      </c>
      <c r="E129" s="314">
        <f t="shared" si="24"/>
        <v>0</v>
      </c>
      <c r="F129" s="172">
        <f t="shared" si="27"/>
        <v>0</v>
      </c>
      <c r="G129" s="208"/>
      <c r="H129" s="279">
        <f t="shared" si="25"/>
        <v>0</v>
      </c>
    </row>
    <row r="130" spans="1:9" hidden="1" outlineLevel="1" x14ac:dyDescent="0.65">
      <c r="A130" s="11"/>
      <c r="B130" s="10">
        <v>0</v>
      </c>
      <c r="C130" s="329">
        <v>0</v>
      </c>
      <c r="D130" s="38">
        <f t="shared" si="26"/>
        <v>0</v>
      </c>
      <c r="E130" s="314">
        <f t="shared" si="24"/>
        <v>0</v>
      </c>
      <c r="F130" s="172">
        <f t="shared" si="27"/>
        <v>0</v>
      </c>
      <c r="G130" s="208"/>
      <c r="H130" s="279">
        <f t="shared" si="25"/>
        <v>0</v>
      </c>
    </row>
    <row r="131" spans="1:9" hidden="1" outlineLevel="1" x14ac:dyDescent="0.65">
      <c r="A131" s="11"/>
      <c r="B131" s="10">
        <v>0</v>
      </c>
      <c r="C131" s="329">
        <v>0</v>
      </c>
      <c r="D131" s="38">
        <f t="shared" si="26"/>
        <v>0</v>
      </c>
      <c r="E131" s="314">
        <f t="shared" si="24"/>
        <v>0</v>
      </c>
      <c r="F131" s="172">
        <f t="shared" si="27"/>
        <v>0</v>
      </c>
      <c r="G131" s="208"/>
      <c r="H131" s="279">
        <f t="shared" si="25"/>
        <v>0</v>
      </c>
    </row>
    <row r="132" spans="1:9" hidden="1" outlineLevel="1" x14ac:dyDescent="0.65">
      <c r="A132" s="11"/>
      <c r="B132" s="10">
        <v>0</v>
      </c>
      <c r="C132" s="329">
        <v>0</v>
      </c>
      <c r="D132" s="38">
        <f t="shared" si="26"/>
        <v>0</v>
      </c>
      <c r="E132" s="314">
        <f t="shared" si="24"/>
        <v>0</v>
      </c>
      <c r="F132" s="172">
        <f t="shared" si="27"/>
        <v>0</v>
      </c>
      <c r="G132" s="208"/>
      <c r="H132" s="279">
        <f t="shared" si="25"/>
        <v>0</v>
      </c>
    </row>
    <row r="133" spans="1:9" hidden="1" outlineLevel="1" x14ac:dyDescent="0.65">
      <c r="A133" s="215"/>
      <c r="G133" s="208"/>
      <c r="H133" s="279">
        <f t="shared" si="25"/>
        <v>0</v>
      </c>
    </row>
    <row r="134" spans="1:9" ht="63.75" customHeight="1" collapsed="1" thickBot="1" x14ac:dyDescent="0.7">
      <c r="A134" s="18" t="s">
        <v>17</v>
      </c>
      <c r="B134" s="17" t="s">
        <v>284</v>
      </c>
      <c r="C134" s="331" t="s">
        <v>206</v>
      </c>
      <c r="D134" s="79" t="s">
        <v>207</v>
      </c>
      <c r="E134" s="296" t="s">
        <v>208</v>
      </c>
    </row>
    <row r="135" spans="1:9" ht="22.5" thickBot="1" x14ac:dyDescent="0.7">
      <c r="A135" s="49">
        <f>SUM(D136:D150)</f>
        <v>0</v>
      </c>
      <c r="B135" s="21" t="s">
        <v>62</v>
      </c>
      <c r="C135" s="327" t="s">
        <v>63</v>
      </c>
      <c r="D135" s="80">
        <f>SUM(D136:D151)</f>
        <v>0</v>
      </c>
      <c r="E135" s="297">
        <f>SUM(F136:F150)</f>
        <v>0</v>
      </c>
      <c r="F135" s="596" t="s">
        <v>202</v>
      </c>
      <c r="G135" s="597"/>
      <c r="H135" s="597"/>
    </row>
    <row r="136" spans="1:9" s="155" customFormat="1" x14ac:dyDescent="0.35">
      <c r="A136" s="183" t="s">
        <v>285</v>
      </c>
      <c r="B136" s="181">
        <v>15000</v>
      </c>
      <c r="C136" s="352"/>
      <c r="D136" s="181">
        <f t="shared" ref="D136:D143" si="28">B136*C136</f>
        <v>0</v>
      </c>
      <c r="E136" s="315">
        <f>C136</f>
        <v>0</v>
      </c>
      <c r="F136" s="182">
        <f t="shared" ref="F136:F146" si="29">D136</f>
        <v>0</v>
      </c>
      <c r="G136" s="209"/>
      <c r="H136" s="262"/>
      <c r="I136"/>
    </row>
    <row r="137" spans="1:9" s="155" customFormat="1" x14ac:dyDescent="0.35">
      <c r="A137" s="180" t="s">
        <v>286</v>
      </c>
      <c r="B137" s="184">
        <v>8000</v>
      </c>
      <c r="C137" s="352"/>
      <c r="D137" s="181">
        <f t="shared" si="28"/>
        <v>0</v>
      </c>
      <c r="E137" s="315">
        <f t="shared" ref="E137:E146" si="30">C137</f>
        <v>0</v>
      </c>
      <c r="F137" s="182">
        <f t="shared" si="29"/>
        <v>0</v>
      </c>
      <c r="G137" s="210"/>
      <c r="H137" s="262"/>
      <c r="I137"/>
    </row>
    <row r="138" spans="1:9" s="155" customFormat="1" x14ac:dyDescent="0.35">
      <c r="A138" s="180" t="s">
        <v>287</v>
      </c>
      <c r="B138" s="184">
        <v>15000</v>
      </c>
      <c r="C138" s="352"/>
      <c r="D138" s="181">
        <f t="shared" si="28"/>
        <v>0</v>
      </c>
      <c r="E138" s="315">
        <f t="shared" si="30"/>
        <v>0</v>
      </c>
      <c r="F138" s="182">
        <f t="shared" si="29"/>
        <v>0</v>
      </c>
      <c r="G138" s="210"/>
      <c r="H138" s="262"/>
      <c r="I138"/>
    </row>
    <row r="139" spans="1:9" s="155" customFormat="1" x14ac:dyDescent="0.35">
      <c r="A139" s="180" t="s">
        <v>288</v>
      </c>
      <c r="B139" s="184">
        <v>85000</v>
      </c>
      <c r="C139" s="352"/>
      <c r="D139" s="181">
        <f t="shared" si="28"/>
        <v>0</v>
      </c>
      <c r="E139" s="315">
        <f t="shared" si="30"/>
        <v>0</v>
      </c>
      <c r="F139" s="182">
        <f t="shared" si="29"/>
        <v>0</v>
      </c>
      <c r="G139" s="210"/>
      <c r="H139" s="262"/>
      <c r="I139"/>
    </row>
    <row r="140" spans="1:9" s="155" customFormat="1" x14ac:dyDescent="0.35">
      <c r="A140" s="180" t="s">
        <v>289</v>
      </c>
      <c r="B140" s="184">
        <v>40000</v>
      </c>
      <c r="C140" s="352"/>
      <c r="D140" s="181">
        <f t="shared" si="28"/>
        <v>0</v>
      </c>
      <c r="E140" s="315">
        <f t="shared" si="30"/>
        <v>0</v>
      </c>
      <c r="F140" s="182">
        <f t="shared" si="29"/>
        <v>0</v>
      </c>
      <c r="G140" s="210"/>
      <c r="H140" s="262"/>
      <c r="I140"/>
    </row>
    <row r="141" spans="1:9" s="155" customFormat="1" x14ac:dyDescent="0.35">
      <c r="A141" s="180" t="s">
        <v>290</v>
      </c>
      <c r="B141" s="184">
        <v>2200</v>
      </c>
      <c r="C141" s="352"/>
      <c r="D141" s="181">
        <f t="shared" si="28"/>
        <v>0</v>
      </c>
      <c r="E141" s="315">
        <f t="shared" si="30"/>
        <v>0</v>
      </c>
      <c r="F141" s="182">
        <f t="shared" si="29"/>
        <v>0</v>
      </c>
      <c r="G141" s="210"/>
      <c r="H141" s="262"/>
      <c r="I141"/>
    </row>
    <row r="142" spans="1:9" s="155" customFormat="1" x14ac:dyDescent="0.35">
      <c r="A142" s="180" t="s">
        <v>291</v>
      </c>
      <c r="B142" s="184">
        <v>1800</v>
      </c>
      <c r="C142" s="352"/>
      <c r="D142" s="181">
        <f t="shared" si="28"/>
        <v>0</v>
      </c>
      <c r="E142" s="315">
        <f t="shared" si="30"/>
        <v>0</v>
      </c>
      <c r="F142" s="182">
        <f t="shared" si="29"/>
        <v>0</v>
      </c>
      <c r="G142" s="210"/>
      <c r="H142" s="262"/>
      <c r="I142"/>
    </row>
    <row r="143" spans="1:9" s="155" customFormat="1" x14ac:dyDescent="0.35">
      <c r="A143" s="180" t="s">
        <v>292</v>
      </c>
      <c r="B143" s="184">
        <v>15000</v>
      </c>
      <c r="C143" s="352"/>
      <c r="D143" s="181">
        <f t="shared" si="28"/>
        <v>0</v>
      </c>
      <c r="E143" s="315">
        <f t="shared" si="30"/>
        <v>0</v>
      </c>
      <c r="F143" s="182">
        <f t="shared" si="29"/>
        <v>0</v>
      </c>
      <c r="G143" s="210"/>
      <c r="H143" s="262"/>
      <c r="I143"/>
    </row>
    <row r="144" spans="1:9" s="155" customFormat="1" x14ac:dyDescent="0.35">
      <c r="A144" s="180" t="s">
        <v>293</v>
      </c>
      <c r="B144" s="184">
        <v>50000</v>
      </c>
      <c r="C144" s="352"/>
      <c r="D144" s="181">
        <f t="shared" ref="D144:D151" si="31">B144*C144</f>
        <v>0</v>
      </c>
      <c r="E144" s="315">
        <f t="shared" si="30"/>
        <v>0</v>
      </c>
      <c r="F144" s="182">
        <f t="shared" si="29"/>
        <v>0</v>
      </c>
      <c r="G144" s="210"/>
      <c r="H144" s="262"/>
      <c r="I144"/>
    </row>
    <row r="145" spans="1:9" s="155" customFormat="1" x14ac:dyDescent="0.35">
      <c r="A145" s="180" t="s">
        <v>294</v>
      </c>
      <c r="B145" s="184">
        <v>2200</v>
      </c>
      <c r="C145" s="352"/>
      <c r="D145" s="181">
        <f t="shared" si="31"/>
        <v>0</v>
      </c>
      <c r="E145" s="315">
        <f t="shared" si="30"/>
        <v>0</v>
      </c>
      <c r="F145" s="182">
        <f t="shared" si="29"/>
        <v>0</v>
      </c>
      <c r="G145" s="210"/>
      <c r="H145" s="262"/>
      <c r="I145"/>
    </row>
    <row r="146" spans="1:9" s="155" customFormat="1" x14ac:dyDescent="0.35">
      <c r="A146" s="180" t="s">
        <v>295</v>
      </c>
      <c r="B146" s="184">
        <v>20000</v>
      </c>
      <c r="C146" s="352"/>
      <c r="D146" s="181">
        <f t="shared" si="31"/>
        <v>0</v>
      </c>
      <c r="E146" s="315">
        <f t="shared" si="30"/>
        <v>0</v>
      </c>
      <c r="F146" s="182">
        <f t="shared" si="29"/>
        <v>0</v>
      </c>
      <c r="G146" s="210"/>
      <c r="H146" s="262"/>
      <c r="I146"/>
    </row>
    <row r="147" spans="1:9" x14ac:dyDescent="0.35">
      <c r="A147" s="180" t="s">
        <v>296</v>
      </c>
      <c r="B147" s="184">
        <v>35000</v>
      </c>
      <c r="C147" s="352"/>
      <c r="D147" s="181">
        <f t="shared" si="31"/>
        <v>0</v>
      </c>
      <c r="E147" s="315">
        <f t="shared" ref="E147:F151" si="32">C147</f>
        <v>0</v>
      </c>
      <c r="F147" s="182">
        <f t="shared" si="32"/>
        <v>0</v>
      </c>
      <c r="G147" s="210"/>
    </row>
    <row r="148" spans="1:9" x14ac:dyDescent="0.35">
      <c r="A148" s="180" t="s">
        <v>297</v>
      </c>
      <c r="B148" s="184">
        <v>20000</v>
      </c>
      <c r="C148" s="352"/>
      <c r="D148" s="181">
        <f t="shared" si="31"/>
        <v>0</v>
      </c>
      <c r="E148" s="315">
        <f t="shared" si="32"/>
        <v>0</v>
      </c>
      <c r="F148" s="182">
        <f t="shared" si="32"/>
        <v>0</v>
      </c>
      <c r="G148" s="210"/>
    </row>
    <row r="149" spans="1:9" hidden="1" outlineLevel="1" x14ac:dyDescent="0.35">
      <c r="A149" s="180"/>
      <c r="B149" s="184"/>
      <c r="C149" s="352"/>
      <c r="D149" s="181">
        <f t="shared" si="31"/>
        <v>0</v>
      </c>
      <c r="E149" s="315">
        <f t="shared" si="32"/>
        <v>0</v>
      </c>
      <c r="F149" s="182">
        <f t="shared" si="32"/>
        <v>0</v>
      </c>
      <c r="G149" s="210"/>
    </row>
    <row r="150" spans="1:9" hidden="1" outlineLevel="1" x14ac:dyDescent="0.35">
      <c r="A150" s="180"/>
      <c r="B150" s="184"/>
      <c r="C150" s="352"/>
      <c r="D150" s="181">
        <f t="shared" si="31"/>
        <v>0</v>
      </c>
      <c r="E150" s="315">
        <f t="shared" si="32"/>
        <v>0</v>
      </c>
      <c r="F150" s="182">
        <f t="shared" si="32"/>
        <v>0</v>
      </c>
      <c r="G150" s="210"/>
    </row>
    <row r="151" spans="1:9" hidden="1" outlineLevel="1" x14ac:dyDescent="0.35">
      <c r="A151" s="180"/>
      <c r="B151" s="184"/>
      <c r="C151" s="352"/>
      <c r="D151" s="181">
        <f t="shared" si="31"/>
        <v>0</v>
      </c>
      <c r="E151" s="315">
        <f t="shared" si="32"/>
        <v>0</v>
      </c>
      <c r="F151" s="182">
        <f t="shared" si="32"/>
        <v>0</v>
      </c>
      <c r="G151" s="210"/>
    </row>
    <row r="152" spans="1:9" ht="63.75" customHeight="1" collapsed="1" thickBot="1" x14ac:dyDescent="0.7">
      <c r="A152" s="62" t="s">
        <v>298</v>
      </c>
      <c r="B152" s="63" t="s">
        <v>200</v>
      </c>
      <c r="C152" s="331" t="s">
        <v>206</v>
      </c>
      <c r="D152" s="79" t="s">
        <v>207</v>
      </c>
      <c r="E152" s="296" t="s">
        <v>208</v>
      </c>
      <c r="F152" s="174"/>
      <c r="G152" s="212"/>
    </row>
    <row r="153" spans="1:9" ht="22.5" thickBot="1" x14ac:dyDescent="0.4">
      <c r="A153" s="65">
        <f>SUM(D154:D157)</f>
        <v>0</v>
      </c>
      <c r="B153" s="56" t="s">
        <v>62</v>
      </c>
      <c r="C153" s="353" t="s">
        <v>63</v>
      </c>
      <c r="D153" s="80">
        <f>SUM(D154:D158)</f>
        <v>0</v>
      </c>
      <c r="E153" s="297">
        <f>SUM(F154:F157)</f>
        <v>0</v>
      </c>
      <c r="F153" s="594" t="s">
        <v>202</v>
      </c>
      <c r="G153" s="595"/>
      <c r="H153" s="595"/>
    </row>
    <row r="154" spans="1:9" ht="22.5" hidden="1" outlineLevel="1" thickBot="1" x14ac:dyDescent="0.4">
      <c r="A154" s="42" t="s">
        <v>299</v>
      </c>
      <c r="B154" s="43">
        <v>10000</v>
      </c>
      <c r="C154" s="354"/>
      <c r="D154" s="66">
        <f>B154*C154</f>
        <v>0</v>
      </c>
      <c r="E154" s="316">
        <f>C154</f>
        <v>0</v>
      </c>
      <c r="F154" s="173"/>
      <c r="G154" s="213"/>
      <c r="H154" s="279">
        <f>E154*B154</f>
        <v>0</v>
      </c>
    </row>
    <row r="155" spans="1:9" ht="22.5" hidden="1" outlineLevel="1" thickBot="1" x14ac:dyDescent="0.4">
      <c r="A155" s="40" t="s">
        <v>300</v>
      </c>
      <c r="B155" s="38">
        <v>10000</v>
      </c>
      <c r="C155" s="351"/>
      <c r="D155" s="66">
        <f>B155*C155</f>
        <v>0</v>
      </c>
      <c r="E155" s="301"/>
      <c r="F155" s="173"/>
      <c r="G155" s="210"/>
      <c r="H155" s="279">
        <f>E155*B155</f>
        <v>0</v>
      </c>
    </row>
    <row r="156" spans="1:9" ht="22.5" hidden="1" outlineLevel="1" thickBot="1" x14ac:dyDescent="0.4">
      <c r="A156" s="40"/>
      <c r="B156" s="38">
        <v>0</v>
      </c>
      <c r="C156" s="351"/>
      <c r="D156" s="67">
        <f>B156*C156</f>
        <v>0</v>
      </c>
      <c r="E156" s="301"/>
      <c r="F156" s="173"/>
      <c r="G156" s="210"/>
      <c r="H156" s="279">
        <f>E156*B156</f>
        <v>0</v>
      </c>
    </row>
    <row r="157" spans="1:9" hidden="1" outlineLevel="1" x14ac:dyDescent="0.35">
      <c r="A157" s="40"/>
      <c r="B157" s="38">
        <v>0</v>
      </c>
      <c r="C157" s="355"/>
      <c r="D157" s="179">
        <f>B157*C157</f>
        <v>0</v>
      </c>
      <c r="E157" s="301"/>
      <c r="F157" s="173"/>
      <c r="G157" s="210"/>
      <c r="H157" s="279">
        <f>E157*B157</f>
        <v>0</v>
      </c>
    </row>
    <row r="158" spans="1:9" collapsed="1" x14ac:dyDescent="0.65">
      <c r="A158" s="40" t="s">
        <v>300</v>
      </c>
      <c r="B158" s="38">
        <v>10000</v>
      </c>
      <c r="C158" s="345"/>
      <c r="D158" s="38">
        <f>B158*C158</f>
        <v>0</v>
      </c>
      <c r="E158" s="317">
        <f>C158</f>
        <v>0</v>
      </c>
      <c r="G158" s="210"/>
      <c r="H158" s="279">
        <f>E158*B158</f>
        <v>0</v>
      </c>
    </row>
    <row r="159" spans="1:9" ht="63.75" customHeight="1" thickBot="1" x14ac:dyDescent="0.7">
      <c r="A159" s="18" t="s">
        <v>301</v>
      </c>
      <c r="B159" s="17" t="s">
        <v>200</v>
      </c>
      <c r="C159" s="331" t="s">
        <v>206</v>
      </c>
      <c r="D159" s="79" t="s">
        <v>207</v>
      </c>
      <c r="E159" s="296" t="s">
        <v>208</v>
      </c>
    </row>
    <row r="160" spans="1:9" ht="22.5" thickBot="1" x14ac:dyDescent="0.7">
      <c r="A160" s="49">
        <f>SUM(D161:D175)</f>
        <v>0</v>
      </c>
      <c r="B160" s="21" t="s">
        <v>62</v>
      </c>
      <c r="C160" s="327" t="s">
        <v>63</v>
      </c>
      <c r="D160" s="80">
        <f>SUM(D161:D175)</f>
        <v>0</v>
      </c>
      <c r="E160" s="297">
        <f>SUM(F161:F175)</f>
        <v>0</v>
      </c>
      <c r="F160" s="596" t="s">
        <v>202</v>
      </c>
      <c r="G160" s="597"/>
      <c r="H160" s="597"/>
    </row>
    <row r="161" spans="1:8" ht="22.5" thickBot="1" x14ac:dyDescent="0.7">
      <c r="A161" s="13" t="s">
        <v>302</v>
      </c>
      <c r="B161" s="12">
        <v>40000</v>
      </c>
      <c r="C161" s="345"/>
      <c r="D161" s="66">
        <f>B161*C161</f>
        <v>0</v>
      </c>
      <c r="E161" s="317">
        <f>C161</f>
        <v>0</v>
      </c>
      <c r="F161" s="173"/>
      <c r="G161" s="209"/>
      <c r="H161" s="279">
        <f>E161*B161</f>
        <v>0</v>
      </c>
    </row>
    <row r="162" spans="1:8" ht="22.5" hidden="1" outlineLevel="1" thickBot="1" x14ac:dyDescent="0.7">
      <c r="A162" s="11"/>
      <c r="B162" s="10"/>
      <c r="C162" s="289"/>
      <c r="D162" s="66"/>
      <c r="E162" s="317"/>
      <c r="F162" s="173"/>
      <c r="G162" s="208"/>
      <c r="H162" s="279">
        <f>E162*B162</f>
        <v>0</v>
      </c>
    </row>
    <row r="163" spans="1:8" hidden="1" outlineLevel="1" x14ac:dyDescent="0.65">
      <c r="A163" s="11"/>
      <c r="B163" s="10"/>
      <c r="C163" s="289"/>
      <c r="D163" s="12"/>
      <c r="F163" s="172"/>
      <c r="G163" s="208"/>
    </row>
    <row r="164" spans="1:8" hidden="1" outlineLevel="1" x14ac:dyDescent="0.65">
      <c r="A164" s="11"/>
      <c r="B164" s="10"/>
      <c r="C164" s="289"/>
      <c r="D164" s="10"/>
      <c r="F164" s="172"/>
      <c r="G164" s="208"/>
    </row>
    <row r="165" spans="1:8" hidden="1" outlineLevel="1" x14ac:dyDescent="0.65">
      <c r="A165" s="11"/>
      <c r="B165" s="10">
        <v>0</v>
      </c>
      <c r="C165" s="329">
        <v>0</v>
      </c>
      <c r="D165" s="10">
        <f t="shared" ref="D165:D175" si="33">B165*C165</f>
        <v>0</v>
      </c>
      <c r="F165" s="172">
        <f t="shared" ref="F165:F175" si="34">D165</f>
        <v>0</v>
      </c>
      <c r="G165" s="208"/>
    </row>
    <row r="166" spans="1:8" hidden="1" outlineLevel="1" x14ac:dyDescent="0.65">
      <c r="A166" s="11"/>
      <c r="B166" s="10">
        <v>0</v>
      </c>
      <c r="C166" s="329">
        <v>0</v>
      </c>
      <c r="D166" s="10">
        <f t="shared" si="33"/>
        <v>0</v>
      </c>
      <c r="F166" s="172">
        <f t="shared" si="34"/>
        <v>0</v>
      </c>
      <c r="G166" s="208"/>
    </row>
    <row r="167" spans="1:8" hidden="1" outlineLevel="1" x14ac:dyDescent="0.65">
      <c r="A167" s="11"/>
      <c r="B167" s="10">
        <v>0</v>
      </c>
      <c r="C167" s="329">
        <v>0</v>
      </c>
      <c r="D167" s="10">
        <f t="shared" si="33"/>
        <v>0</v>
      </c>
      <c r="F167" s="172">
        <f t="shared" si="34"/>
        <v>0</v>
      </c>
      <c r="G167" s="208"/>
    </row>
    <row r="168" spans="1:8" hidden="1" outlineLevel="1" x14ac:dyDescent="0.65">
      <c r="A168" s="11"/>
      <c r="B168" s="10">
        <v>0</v>
      </c>
      <c r="C168" s="329">
        <v>0</v>
      </c>
      <c r="D168" s="10">
        <f t="shared" si="33"/>
        <v>0</v>
      </c>
      <c r="F168" s="172">
        <f t="shared" si="34"/>
        <v>0</v>
      </c>
      <c r="G168" s="208"/>
    </row>
    <row r="169" spans="1:8" hidden="1" outlineLevel="1" x14ac:dyDescent="0.65">
      <c r="A169" s="11"/>
      <c r="B169" s="10">
        <v>0</v>
      </c>
      <c r="C169" s="329">
        <v>0</v>
      </c>
      <c r="D169" s="10">
        <f t="shared" si="33"/>
        <v>0</v>
      </c>
      <c r="F169" s="172">
        <f t="shared" si="34"/>
        <v>0</v>
      </c>
      <c r="G169" s="208"/>
    </row>
    <row r="170" spans="1:8" hidden="1" outlineLevel="1" x14ac:dyDescent="0.65">
      <c r="A170" s="11"/>
      <c r="B170" s="10">
        <v>0</v>
      </c>
      <c r="C170" s="329">
        <v>0</v>
      </c>
      <c r="D170" s="10">
        <f t="shared" si="33"/>
        <v>0</v>
      </c>
      <c r="F170" s="172">
        <f t="shared" si="34"/>
        <v>0</v>
      </c>
      <c r="G170" s="208"/>
    </row>
    <row r="171" spans="1:8" hidden="1" outlineLevel="1" x14ac:dyDescent="0.65">
      <c r="A171" s="11"/>
      <c r="B171" s="10">
        <v>0</v>
      </c>
      <c r="C171" s="329">
        <v>0</v>
      </c>
      <c r="D171" s="10">
        <f t="shared" si="33"/>
        <v>0</v>
      </c>
      <c r="F171" s="172">
        <f t="shared" si="34"/>
        <v>0</v>
      </c>
      <c r="G171" s="208"/>
    </row>
    <row r="172" spans="1:8" hidden="1" outlineLevel="1" x14ac:dyDescent="0.65">
      <c r="A172" s="11"/>
      <c r="B172" s="10">
        <v>0</v>
      </c>
      <c r="C172" s="329">
        <v>0</v>
      </c>
      <c r="D172" s="10">
        <f t="shared" si="33"/>
        <v>0</v>
      </c>
      <c r="F172" s="172">
        <f t="shared" si="34"/>
        <v>0</v>
      </c>
      <c r="G172" s="208"/>
    </row>
    <row r="173" spans="1:8" hidden="1" outlineLevel="1" x14ac:dyDescent="0.65">
      <c r="A173" s="11"/>
      <c r="B173" s="10">
        <v>0</v>
      </c>
      <c r="C173" s="329">
        <v>0</v>
      </c>
      <c r="D173" s="10">
        <f t="shared" si="33"/>
        <v>0</v>
      </c>
      <c r="F173" s="172">
        <f t="shared" si="34"/>
        <v>0</v>
      </c>
      <c r="G173" s="208"/>
    </row>
    <row r="174" spans="1:8" hidden="1" outlineLevel="1" x14ac:dyDescent="0.65">
      <c r="A174" s="11"/>
      <c r="B174" s="10">
        <v>0</v>
      </c>
      <c r="C174" s="329">
        <v>0</v>
      </c>
      <c r="D174" s="10">
        <f t="shared" si="33"/>
        <v>0</v>
      </c>
      <c r="F174" s="172">
        <f t="shared" si="34"/>
        <v>0</v>
      </c>
      <c r="G174" s="208"/>
    </row>
    <row r="175" spans="1:8" hidden="1" outlineLevel="1" x14ac:dyDescent="0.65">
      <c r="A175" s="11"/>
      <c r="B175" s="10">
        <v>0</v>
      </c>
      <c r="C175" s="329">
        <v>0</v>
      </c>
      <c r="D175" s="10">
        <f t="shared" si="33"/>
        <v>0</v>
      </c>
      <c r="F175" s="172">
        <f t="shared" si="34"/>
        <v>0</v>
      </c>
      <c r="G175" s="208"/>
    </row>
    <row r="176" spans="1:8" hidden="1" outlineLevel="1" x14ac:dyDescent="0.65"/>
    <row r="177" spans="1:8" ht="63.75" customHeight="1" collapsed="1" thickBot="1" x14ac:dyDescent="0.7">
      <c r="A177" s="18" t="s">
        <v>303</v>
      </c>
      <c r="B177" s="17" t="s">
        <v>200</v>
      </c>
      <c r="C177" s="331" t="s">
        <v>206</v>
      </c>
      <c r="D177" s="79" t="s">
        <v>207</v>
      </c>
      <c r="E177" s="296" t="s">
        <v>208</v>
      </c>
    </row>
    <row r="178" spans="1:8" ht="22.5" thickBot="1" x14ac:dyDescent="0.7">
      <c r="A178" s="49">
        <f>SUM(D179:D193)</f>
        <v>171000</v>
      </c>
      <c r="B178" s="21" t="s">
        <v>62</v>
      </c>
      <c r="C178" s="327" t="s">
        <v>63</v>
      </c>
      <c r="D178" s="80">
        <f>SUM(D179:D180)</f>
        <v>171000</v>
      </c>
      <c r="E178" s="297">
        <f>SUM(F179:F193)</f>
        <v>216000</v>
      </c>
      <c r="F178" s="596" t="s">
        <v>202</v>
      </c>
      <c r="G178" s="597"/>
      <c r="H178" s="597"/>
    </row>
    <row r="179" spans="1:8" x14ac:dyDescent="0.65">
      <c r="A179" s="13" t="s">
        <v>303</v>
      </c>
      <c r="B179" s="12">
        <v>18000</v>
      </c>
      <c r="C179" s="500">
        <f>Díj!G159</f>
        <v>7.5</v>
      </c>
      <c r="D179" s="12">
        <f>B179*C179</f>
        <v>135000</v>
      </c>
      <c r="E179" s="556">
        <f>C179+1+0.5+1</f>
        <v>10</v>
      </c>
      <c r="F179" s="567">
        <f>E179*B179</f>
        <v>180000</v>
      </c>
      <c r="G179" s="566"/>
      <c r="H179" s="558"/>
    </row>
    <row r="180" spans="1:8" x14ac:dyDescent="0.65">
      <c r="A180" s="11" t="s">
        <v>304</v>
      </c>
      <c r="B180" s="10">
        <v>240</v>
      </c>
      <c r="C180" s="356">
        <f>C179*20</f>
        <v>150</v>
      </c>
      <c r="D180" s="10">
        <f t="shared" ref="D180:D193" si="35">B180*C180</f>
        <v>36000</v>
      </c>
      <c r="E180" s="318">
        <f>C180</f>
        <v>150</v>
      </c>
      <c r="F180" s="428">
        <f>E180*B180</f>
        <v>36000</v>
      </c>
      <c r="G180" s="208"/>
    </row>
    <row r="181" spans="1:8" hidden="1" outlineLevel="1" x14ac:dyDescent="0.65">
      <c r="A181" s="11"/>
      <c r="B181" s="10"/>
      <c r="C181" s="329"/>
      <c r="D181" s="10">
        <f t="shared" si="35"/>
        <v>0</v>
      </c>
      <c r="F181" s="172">
        <f t="shared" ref="F181:F193" si="36">D181</f>
        <v>0</v>
      </c>
      <c r="G181" s="208"/>
    </row>
    <row r="182" spans="1:8" hidden="1" outlineLevel="1" x14ac:dyDescent="0.65">
      <c r="A182" s="11"/>
      <c r="B182" s="10">
        <v>0</v>
      </c>
      <c r="C182" s="329"/>
      <c r="D182" s="10">
        <f t="shared" si="35"/>
        <v>0</v>
      </c>
      <c r="F182" s="172">
        <f t="shared" si="36"/>
        <v>0</v>
      </c>
      <c r="G182" s="208"/>
    </row>
    <row r="183" spans="1:8" hidden="1" outlineLevel="1" x14ac:dyDescent="0.65">
      <c r="A183" s="11"/>
      <c r="B183" s="10">
        <v>0</v>
      </c>
      <c r="C183" s="329"/>
      <c r="D183" s="10">
        <f t="shared" si="35"/>
        <v>0</v>
      </c>
      <c r="F183" s="172">
        <f t="shared" si="36"/>
        <v>0</v>
      </c>
      <c r="G183" s="208"/>
    </row>
    <row r="184" spans="1:8" hidden="1" outlineLevel="1" x14ac:dyDescent="0.65">
      <c r="A184" s="11"/>
      <c r="B184" s="10">
        <v>0</v>
      </c>
      <c r="C184" s="329"/>
      <c r="D184" s="10">
        <f t="shared" si="35"/>
        <v>0</v>
      </c>
      <c r="F184" s="172">
        <f t="shared" si="36"/>
        <v>0</v>
      </c>
      <c r="G184" s="208"/>
    </row>
    <row r="185" spans="1:8" hidden="1" outlineLevel="1" x14ac:dyDescent="0.65">
      <c r="A185" s="11"/>
      <c r="B185" s="10">
        <v>0</v>
      </c>
      <c r="C185" s="329"/>
      <c r="D185" s="10">
        <f t="shared" si="35"/>
        <v>0</v>
      </c>
      <c r="F185" s="172">
        <f t="shared" si="36"/>
        <v>0</v>
      </c>
      <c r="G185" s="208"/>
    </row>
    <row r="186" spans="1:8" hidden="1" outlineLevel="1" x14ac:dyDescent="0.65">
      <c r="A186" s="11"/>
      <c r="B186" s="10">
        <v>0</v>
      </c>
      <c r="C186" s="329"/>
      <c r="D186" s="10">
        <f t="shared" si="35"/>
        <v>0</v>
      </c>
      <c r="F186" s="172">
        <f t="shared" si="36"/>
        <v>0</v>
      </c>
      <c r="G186" s="208"/>
    </row>
    <row r="187" spans="1:8" hidden="1" outlineLevel="1" x14ac:dyDescent="0.65">
      <c r="A187" s="11"/>
      <c r="B187" s="10">
        <v>0</v>
      </c>
      <c r="C187" s="329"/>
      <c r="D187" s="10">
        <f t="shared" si="35"/>
        <v>0</v>
      </c>
      <c r="F187" s="172">
        <f t="shared" si="36"/>
        <v>0</v>
      </c>
      <c r="G187" s="208"/>
    </row>
    <row r="188" spans="1:8" hidden="1" outlineLevel="1" x14ac:dyDescent="0.65">
      <c r="A188" s="11"/>
      <c r="B188" s="10">
        <v>0</v>
      </c>
      <c r="C188" s="329"/>
      <c r="D188" s="10">
        <f t="shared" si="35"/>
        <v>0</v>
      </c>
      <c r="F188" s="172">
        <f t="shared" si="36"/>
        <v>0</v>
      </c>
      <c r="G188" s="208"/>
    </row>
    <row r="189" spans="1:8" hidden="1" outlineLevel="1" x14ac:dyDescent="0.65">
      <c r="A189" s="11"/>
      <c r="B189" s="10">
        <v>0</v>
      </c>
      <c r="C189" s="329"/>
      <c r="D189" s="10">
        <f t="shared" si="35"/>
        <v>0</v>
      </c>
      <c r="F189" s="172">
        <f t="shared" si="36"/>
        <v>0</v>
      </c>
      <c r="G189" s="208"/>
    </row>
    <row r="190" spans="1:8" hidden="1" outlineLevel="1" x14ac:dyDescent="0.65">
      <c r="A190" s="11"/>
      <c r="B190" s="10">
        <v>0</v>
      </c>
      <c r="C190" s="329"/>
      <c r="D190" s="10">
        <f t="shared" si="35"/>
        <v>0</v>
      </c>
      <c r="F190" s="172">
        <f t="shared" si="36"/>
        <v>0</v>
      </c>
      <c r="G190" s="208"/>
    </row>
    <row r="191" spans="1:8" hidden="1" outlineLevel="1" x14ac:dyDescent="0.65">
      <c r="A191" s="11"/>
      <c r="B191" s="10">
        <v>0</v>
      </c>
      <c r="C191" s="329"/>
      <c r="D191" s="10">
        <f t="shared" si="35"/>
        <v>0</v>
      </c>
      <c r="F191" s="172">
        <f t="shared" si="36"/>
        <v>0</v>
      </c>
      <c r="G191" s="208"/>
    </row>
    <row r="192" spans="1:8" hidden="1" outlineLevel="1" x14ac:dyDescent="0.65">
      <c r="A192" s="11"/>
      <c r="B192" s="10">
        <v>0</v>
      </c>
      <c r="C192" s="329"/>
      <c r="D192" s="10">
        <f t="shared" si="35"/>
        <v>0</v>
      </c>
      <c r="F192" s="172">
        <f t="shared" si="36"/>
        <v>0</v>
      </c>
      <c r="G192" s="208"/>
    </row>
    <row r="193" spans="1:8" hidden="1" outlineLevel="1" x14ac:dyDescent="0.65">
      <c r="A193" s="11"/>
      <c r="B193" s="10">
        <v>0</v>
      </c>
      <c r="C193" s="329"/>
      <c r="D193" s="10">
        <f t="shared" si="35"/>
        <v>0</v>
      </c>
      <c r="F193" s="172">
        <f t="shared" si="36"/>
        <v>0</v>
      </c>
      <c r="G193" s="208"/>
    </row>
    <row r="194" spans="1:8" ht="63.75" customHeight="1" collapsed="1" thickBot="1" x14ac:dyDescent="0.7">
      <c r="A194" s="18" t="s">
        <v>305</v>
      </c>
      <c r="B194" s="17" t="s">
        <v>200</v>
      </c>
      <c r="C194" s="331" t="s">
        <v>206</v>
      </c>
      <c r="D194" s="79" t="s">
        <v>207</v>
      </c>
      <c r="E194" s="296" t="s">
        <v>208</v>
      </c>
    </row>
    <row r="195" spans="1:8" ht="22.5" thickBot="1" x14ac:dyDescent="0.7">
      <c r="A195" s="49">
        <f>SUM(D196:D199)</f>
        <v>6000</v>
      </c>
      <c r="B195" s="21" t="s">
        <v>62</v>
      </c>
      <c r="C195" s="327" t="s">
        <v>63</v>
      </c>
      <c r="D195" s="80">
        <f>SUM(D196:D198)</f>
        <v>6000</v>
      </c>
      <c r="E195" s="297">
        <f>SUM(F196:F210)</f>
        <v>84000</v>
      </c>
      <c r="F195" s="596" t="s">
        <v>202</v>
      </c>
      <c r="G195" s="597"/>
      <c r="H195" s="597"/>
    </row>
    <row r="196" spans="1:8" x14ac:dyDescent="0.65">
      <c r="A196" s="255" t="s">
        <v>306</v>
      </c>
      <c r="B196" s="12">
        <v>2000</v>
      </c>
      <c r="C196" s="332">
        <v>3</v>
      </c>
      <c r="D196" s="12">
        <f>B196*C196</f>
        <v>6000</v>
      </c>
      <c r="E196" s="576">
        <f>C196</f>
        <v>3</v>
      </c>
      <c r="F196" s="577">
        <f>E196*B196</f>
        <v>6000</v>
      </c>
      <c r="G196" s="208"/>
    </row>
    <row r="197" spans="1:8" x14ac:dyDescent="0.65">
      <c r="A197" s="40" t="s">
        <v>353</v>
      </c>
      <c r="B197" s="10">
        <v>2000</v>
      </c>
      <c r="C197" s="332"/>
      <c r="D197" s="10">
        <f>B197*C197</f>
        <v>0</v>
      </c>
      <c r="E197" s="472">
        <v>8</v>
      </c>
      <c r="F197" s="279">
        <f t="shared" ref="F197:F202" si="37">E197*B197</f>
        <v>16000</v>
      </c>
      <c r="G197" s="208"/>
    </row>
    <row r="198" spans="1:8" x14ac:dyDescent="0.65">
      <c r="A198" s="11" t="s">
        <v>367</v>
      </c>
      <c r="B198" s="10">
        <v>10000</v>
      </c>
      <c r="C198" s="332"/>
      <c r="D198" s="10">
        <f>B198*C198</f>
        <v>0</v>
      </c>
      <c r="E198" s="503">
        <v>1</v>
      </c>
      <c r="F198" s="279">
        <f t="shared" si="37"/>
        <v>10000</v>
      </c>
      <c r="G198" s="208"/>
    </row>
    <row r="199" spans="1:8" x14ac:dyDescent="0.65">
      <c r="A199" s="11" t="s">
        <v>368</v>
      </c>
      <c r="B199" s="10">
        <v>23000</v>
      </c>
      <c r="C199" s="332"/>
      <c r="D199" s="10"/>
      <c r="E199" s="503">
        <v>1</v>
      </c>
      <c r="F199" s="279">
        <f t="shared" si="37"/>
        <v>23000</v>
      </c>
      <c r="G199" s="208"/>
      <c r="H199" s="279"/>
    </row>
    <row r="200" spans="1:8" x14ac:dyDescent="0.65">
      <c r="A200" s="11" t="s">
        <v>377</v>
      </c>
      <c r="B200" s="10">
        <v>2000</v>
      </c>
      <c r="C200" s="332"/>
      <c r="D200" s="10"/>
      <c r="E200" s="545">
        <v>2</v>
      </c>
      <c r="F200" s="544">
        <f t="shared" si="37"/>
        <v>4000</v>
      </c>
      <c r="G200" s="208"/>
    </row>
    <row r="201" spans="1:8" x14ac:dyDescent="0.65">
      <c r="A201" s="11" t="s">
        <v>378</v>
      </c>
      <c r="B201" s="10">
        <v>15000</v>
      </c>
      <c r="C201" s="332"/>
      <c r="D201" s="10"/>
      <c r="E201" s="545">
        <v>1</v>
      </c>
      <c r="F201" s="544">
        <f t="shared" si="37"/>
        <v>15000</v>
      </c>
      <c r="G201" s="208"/>
      <c r="H201" s="279"/>
    </row>
    <row r="202" spans="1:8" x14ac:dyDescent="0.65">
      <c r="A202" s="11" t="s">
        <v>379</v>
      </c>
      <c r="B202" s="10">
        <v>10000</v>
      </c>
      <c r="C202" s="332"/>
      <c r="D202" s="10"/>
      <c r="E202" s="545">
        <v>1</v>
      </c>
      <c r="F202" s="544">
        <f t="shared" si="37"/>
        <v>10000</v>
      </c>
      <c r="G202" s="208"/>
      <c r="H202" s="279"/>
    </row>
    <row r="203" spans="1:8" x14ac:dyDescent="0.65">
      <c r="A203" s="11" t="s">
        <v>307</v>
      </c>
      <c r="B203" s="10">
        <v>6000</v>
      </c>
      <c r="C203" s="332"/>
      <c r="D203" s="10"/>
      <c r="E203" s="291"/>
      <c r="G203" s="208"/>
      <c r="H203" s="279">
        <f t="shared" ref="H203:H210" si="38">E203*B203</f>
        <v>0</v>
      </c>
    </row>
    <row r="204" spans="1:8" x14ac:dyDescent="0.65">
      <c r="A204" s="216" t="s">
        <v>308</v>
      </c>
      <c r="B204" s="10">
        <v>7000</v>
      </c>
      <c r="C204" s="332"/>
      <c r="D204" s="10"/>
      <c r="E204" s="291"/>
      <c r="G204" s="208"/>
      <c r="H204" s="279">
        <f t="shared" si="38"/>
        <v>0</v>
      </c>
    </row>
    <row r="205" spans="1:8" x14ac:dyDescent="0.65">
      <c r="A205" s="216" t="s">
        <v>309</v>
      </c>
      <c r="B205" s="10">
        <v>5400</v>
      </c>
      <c r="C205" s="332"/>
      <c r="D205" s="10"/>
      <c r="E205" s="291"/>
      <c r="G205" s="208"/>
      <c r="H205" s="279">
        <f t="shared" si="38"/>
        <v>0</v>
      </c>
    </row>
    <row r="206" spans="1:8" x14ac:dyDescent="0.65">
      <c r="A206" s="11" t="s">
        <v>310</v>
      </c>
      <c r="B206" s="10">
        <v>20000</v>
      </c>
      <c r="C206" s="332"/>
      <c r="D206" s="10"/>
      <c r="E206" s="291"/>
      <c r="G206" s="208"/>
      <c r="H206" s="279">
        <f t="shared" si="38"/>
        <v>0</v>
      </c>
    </row>
    <row r="207" spans="1:8" ht="21" customHeight="1" x14ac:dyDescent="0.65">
      <c r="A207" s="11" t="s">
        <v>311</v>
      </c>
      <c r="B207" s="10">
        <v>3000</v>
      </c>
      <c r="C207" s="332"/>
      <c r="D207" s="10"/>
      <c r="E207" s="291"/>
      <c r="G207" s="208"/>
      <c r="H207" s="279">
        <f t="shared" si="38"/>
        <v>0</v>
      </c>
    </row>
    <row r="208" spans="1:8" x14ac:dyDescent="0.65">
      <c r="A208" s="11" t="s">
        <v>312</v>
      </c>
      <c r="B208" s="10">
        <v>2000</v>
      </c>
      <c r="C208" s="332"/>
      <c r="D208" s="10"/>
      <c r="E208" s="291"/>
      <c r="G208" s="208"/>
      <c r="H208" s="279">
        <f t="shared" si="38"/>
        <v>0</v>
      </c>
    </row>
    <row r="209" spans="1:15" x14ac:dyDescent="0.65">
      <c r="A209" s="11" t="s">
        <v>313</v>
      </c>
      <c r="B209" s="10">
        <v>10000</v>
      </c>
      <c r="C209" s="332"/>
      <c r="D209" s="10"/>
      <c r="E209" s="291"/>
      <c r="G209" s="208"/>
      <c r="H209" s="279">
        <f t="shared" si="38"/>
        <v>0</v>
      </c>
    </row>
    <row r="210" spans="1:15" x14ac:dyDescent="0.65">
      <c r="A210" s="11" t="s">
        <v>314</v>
      </c>
      <c r="B210" s="10">
        <v>5000</v>
      </c>
      <c r="C210" s="332"/>
      <c r="D210" s="10"/>
      <c r="E210" s="291"/>
      <c r="G210" s="208"/>
      <c r="H210" s="279">
        <f t="shared" si="38"/>
        <v>0</v>
      </c>
    </row>
    <row r="211" spans="1:15" ht="63.75" customHeight="1" thickBot="1" x14ac:dyDescent="0.7">
      <c r="A211" s="18" t="s">
        <v>315</v>
      </c>
      <c r="B211" s="17" t="s">
        <v>200</v>
      </c>
      <c r="C211" s="331" t="s">
        <v>206</v>
      </c>
      <c r="D211" s="79" t="s">
        <v>207</v>
      </c>
      <c r="E211" s="296" t="s">
        <v>208</v>
      </c>
    </row>
    <row r="212" spans="1:15" ht="22.5" thickBot="1" x14ac:dyDescent="0.7">
      <c r="A212" s="49">
        <f>SUM(D213:D228)</f>
        <v>18000</v>
      </c>
      <c r="B212" s="21" t="s">
        <v>62</v>
      </c>
      <c r="C212" s="327" t="s">
        <v>63</v>
      </c>
      <c r="D212" s="80">
        <f>SUM(D213:D234)</f>
        <v>18000</v>
      </c>
      <c r="E212" s="319">
        <f>SUM(F212:F228)</f>
        <v>43400</v>
      </c>
      <c r="F212" s="596"/>
      <c r="G212" s="597"/>
      <c r="H212" s="597"/>
    </row>
    <row r="213" spans="1:15" ht="31" x14ac:dyDescent="0.35">
      <c r="A213" s="42" t="s">
        <v>316</v>
      </c>
      <c r="B213" s="43">
        <v>6000</v>
      </c>
      <c r="C213" s="358">
        <v>3</v>
      </c>
      <c r="D213" s="12">
        <f>B213*C213</f>
        <v>18000</v>
      </c>
      <c r="E213" s="311">
        <f>C213</f>
        <v>3</v>
      </c>
      <c r="F213" s="544">
        <f>E213*B213</f>
        <v>18000</v>
      </c>
      <c r="G213" s="274"/>
      <c r="J213" s="22" t="s">
        <v>317</v>
      </c>
      <c r="K213" s="23" t="s">
        <v>66</v>
      </c>
      <c r="L213" s="24" t="s">
        <v>67</v>
      </c>
      <c r="M213" s="24" t="s">
        <v>68</v>
      </c>
      <c r="N213" s="25" t="s">
        <v>69</v>
      </c>
      <c r="O213" s="26">
        <v>3000</v>
      </c>
    </row>
    <row r="214" spans="1:15" s="58" customFormat="1" ht="35.4" customHeight="1" thickBot="1" x14ac:dyDescent="0.4">
      <c r="A214" s="3" t="s">
        <v>318</v>
      </c>
      <c r="B214" s="43">
        <v>6000</v>
      </c>
      <c r="C214" s="358"/>
      <c r="D214" s="38">
        <f>B214*C214</f>
        <v>0</v>
      </c>
      <c r="E214" s="311"/>
      <c r="F214" s="279">
        <f>E214*B214</f>
        <v>0</v>
      </c>
      <c r="G214" s="278"/>
      <c r="J214" s="178">
        <v>3</v>
      </c>
      <c r="K214" s="175">
        <v>4</v>
      </c>
      <c r="L214" s="108">
        <f>J214*K214*10</f>
        <v>120</v>
      </c>
      <c r="M214" s="109">
        <f>L214*1.6</f>
        <v>192</v>
      </c>
      <c r="N214" s="110">
        <f>M214/25</f>
        <v>7.68</v>
      </c>
      <c r="O214" s="176">
        <f>N214*O213</f>
        <v>23040</v>
      </c>
    </row>
    <row r="215" spans="1:15" x14ac:dyDescent="0.65">
      <c r="A215" s="68" t="s">
        <v>319</v>
      </c>
      <c r="B215" s="43">
        <v>6000</v>
      </c>
      <c r="C215" s="357"/>
      <c r="D215" s="10">
        <f t="shared" ref="D215:D228" si="39">B215*C215</f>
        <v>0</v>
      </c>
      <c r="E215" s="320"/>
      <c r="F215" s="270"/>
      <c r="G215" s="274"/>
      <c r="H215" s="279">
        <f>E215*B215</f>
        <v>0</v>
      </c>
    </row>
    <row r="216" spans="1:15" x14ac:dyDescent="0.65">
      <c r="A216" s="168" t="s">
        <v>320</v>
      </c>
      <c r="B216" s="393">
        <v>2500</v>
      </c>
      <c r="C216" s="357"/>
      <c r="D216" s="10">
        <f>B216*C216</f>
        <v>0</v>
      </c>
      <c r="E216" s="320"/>
      <c r="F216" s="279">
        <f>E216*B216</f>
        <v>0</v>
      </c>
      <c r="G216" s="274"/>
    </row>
    <row r="217" spans="1:15" x14ac:dyDescent="0.65">
      <c r="A217" s="11" t="s">
        <v>321</v>
      </c>
      <c r="B217" s="10">
        <v>800</v>
      </c>
      <c r="C217" s="359"/>
      <c r="D217" s="10">
        <f t="shared" si="39"/>
        <v>0</v>
      </c>
      <c r="E217" s="298"/>
      <c r="F217" s="270"/>
      <c r="G217" s="274"/>
      <c r="H217" s="280"/>
    </row>
    <row r="218" spans="1:15" x14ac:dyDescent="0.65">
      <c r="B218" s="10">
        <v>1600</v>
      </c>
      <c r="C218" s="360"/>
      <c r="D218" s="10">
        <f t="shared" si="39"/>
        <v>0</v>
      </c>
      <c r="E218" s="395"/>
      <c r="F218" s="270"/>
      <c r="G218" s="274"/>
      <c r="H218" s="280"/>
    </row>
    <row r="219" spans="1:15" x14ac:dyDescent="0.65">
      <c r="A219" s="11" t="s">
        <v>322</v>
      </c>
      <c r="B219" s="10">
        <v>3000</v>
      </c>
      <c r="C219" s="357"/>
      <c r="D219" s="10">
        <f t="shared" si="39"/>
        <v>0</v>
      </c>
      <c r="E219" s="320"/>
      <c r="F219" s="270"/>
      <c r="G219" s="274"/>
      <c r="H219" s="280"/>
    </row>
    <row r="220" spans="1:15" x14ac:dyDescent="0.65">
      <c r="A220" s="11" t="s">
        <v>323</v>
      </c>
      <c r="B220" s="10">
        <v>3000</v>
      </c>
      <c r="C220" s="361"/>
      <c r="D220" s="10">
        <f t="shared" si="39"/>
        <v>0</v>
      </c>
      <c r="E220" s="321">
        <f>C220</f>
        <v>0</v>
      </c>
      <c r="F220" s="270"/>
      <c r="G220" s="274"/>
      <c r="H220" s="279">
        <f>E220*B220</f>
        <v>0</v>
      </c>
    </row>
    <row r="221" spans="1:15" x14ac:dyDescent="0.65">
      <c r="A221" s="11" t="s">
        <v>324</v>
      </c>
      <c r="B221" s="10">
        <v>5000</v>
      </c>
      <c r="C221" s="362"/>
      <c r="D221" s="10">
        <f t="shared" si="39"/>
        <v>0</v>
      </c>
      <c r="E221" s="396"/>
      <c r="F221" s="270"/>
      <c r="G221" s="274"/>
      <c r="H221" s="279">
        <f>E221*B221</f>
        <v>0</v>
      </c>
    </row>
    <row r="222" spans="1:15" x14ac:dyDescent="0.65">
      <c r="A222" s="11" t="s">
        <v>325</v>
      </c>
      <c r="B222" s="10">
        <v>800</v>
      </c>
      <c r="C222" s="321"/>
      <c r="D222" s="10">
        <f t="shared" si="39"/>
        <v>0</v>
      </c>
      <c r="E222" s="321">
        <f t="shared" ref="E222:E229" si="40">C222</f>
        <v>0</v>
      </c>
      <c r="F222" s="270"/>
      <c r="G222" s="274"/>
      <c r="H222" s="279">
        <f>E222*B222</f>
        <v>0</v>
      </c>
    </row>
    <row r="223" spans="1:15" x14ac:dyDescent="0.65">
      <c r="A223" s="11" t="s">
        <v>326</v>
      </c>
      <c r="B223" s="10">
        <v>1400</v>
      </c>
      <c r="C223" s="363"/>
      <c r="D223" s="10">
        <f t="shared" si="39"/>
        <v>0</v>
      </c>
      <c r="E223" s="321">
        <f t="shared" si="40"/>
        <v>0</v>
      </c>
      <c r="F223" s="270"/>
      <c r="G223" s="274"/>
      <c r="H223" s="279">
        <f>E223*B223</f>
        <v>0</v>
      </c>
    </row>
    <row r="224" spans="1:15" x14ac:dyDescent="0.65">
      <c r="A224" s="75" t="s">
        <v>369</v>
      </c>
      <c r="B224" s="10">
        <v>1500</v>
      </c>
      <c r="C224" s="364"/>
      <c r="D224" s="76">
        <f t="shared" si="39"/>
        <v>0</v>
      </c>
      <c r="E224" s="507">
        <v>6</v>
      </c>
      <c r="F224" s="508">
        <f>E224*B224</f>
        <v>9000</v>
      </c>
      <c r="G224" s="274"/>
    </row>
    <row r="225" spans="1:8" x14ac:dyDescent="0.65">
      <c r="A225" s="75" t="s">
        <v>327</v>
      </c>
      <c r="B225" s="10">
        <v>400</v>
      </c>
      <c r="C225" s="364"/>
      <c r="D225" s="76">
        <f t="shared" si="39"/>
        <v>0</v>
      </c>
      <c r="E225" s="463">
        <f>Díj!G193+Díj!G194</f>
        <v>41</v>
      </c>
      <c r="F225" s="464">
        <f>E225*B225</f>
        <v>16400</v>
      </c>
      <c r="G225" s="274"/>
    </row>
    <row r="226" spans="1:8" x14ac:dyDescent="0.65">
      <c r="A226" s="421"/>
      <c r="B226" s="10"/>
      <c r="C226" s="329"/>
      <c r="D226" s="76">
        <f t="shared" si="39"/>
        <v>0</v>
      </c>
      <c r="E226" s="397">
        <f t="shared" si="40"/>
        <v>0</v>
      </c>
      <c r="F226" s="270"/>
      <c r="G226" s="274"/>
      <c r="H226" s="280"/>
    </row>
    <row r="227" spans="1:8" x14ac:dyDescent="0.65">
      <c r="A227" s="75" t="s">
        <v>328</v>
      </c>
      <c r="B227" s="10">
        <v>3000</v>
      </c>
      <c r="C227" s="365"/>
      <c r="D227" s="76">
        <f t="shared" si="39"/>
        <v>0</v>
      </c>
      <c r="E227" s="320">
        <f t="shared" si="40"/>
        <v>0</v>
      </c>
      <c r="F227" s="270"/>
      <c r="G227" s="274"/>
      <c r="H227" s="280"/>
    </row>
    <row r="228" spans="1:8" x14ac:dyDescent="0.65">
      <c r="A228" s="75" t="s">
        <v>329</v>
      </c>
      <c r="B228" s="10">
        <v>600</v>
      </c>
      <c r="C228" s="364"/>
      <c r="D228" s="76">
        <f t="shared" si="39"/>
        <v>0</v>
      </c>
      <c r="E228" s="322">
        <f t="shared" si="40"/>
        <v>0</v>
      </c>
      <c r="F228" s="270"/>
      <c r="G228" s="274"/>
      <c r="H228" s="280"/>
    </row>
    <row r="229" spans="1:8" x14ac:dyDescent="0.65">
      <c r="B229" s="77"/>
      <c r="C229" s="366"/>
      <c r="E229" s="323">
        <f t="shared" si="40"/>
        <v>0</v>
      </c>
      <c r="F229" s="270"/>
      <c r="G229" s="284"/>
      <c r="H229" s="283"/>
    </row>
  </sheetData>
  <mergeCells count="21">
    <mergeCell ref="B1:D1"/>
    <mergeCell ref="F212:H212"/>
    <mergeCell ref="F195:H195"/>
    <mergeCell ref="F32:H32"/>
    <mergeCell ref="F98:H98"/>
    <mergeCell ref="F88:H88"/>
    <mergeCell ref="F178:H178"/>
    <mergeCell ref="A5:F5"/>
    <mergeCell ref="B6:D6"/>
    <mergeCell ref="F8:H8"/>
    <mergeCell ref="A4:E4"/>
    <mergeCell ref="F160:H160"/>
    <mergeCell ref="F68:H68"/>
    <mergeCell ref="F48:H48"/>
    <mergeCell ref="J98:L98"/>
    <mergeCell ref="F153:H153"/>
    <mergeCell ref="F14:H14"/>
    <mergeCell ref="H7:J7"/>
    <mergeCell ref="F117:H117"/>
    <mergeCell ref="F78:H78"/>
    <mergeCell ref="F135:H135"/>
  </mergeCells>
  <hyperlinks>
    <hyperlink ref="B6" r:id="rId1" xr:uid="{00000000-0004-0000-0200-000000000000}"/>
  </hyperlinks>
  <pageMargins left="0.70866141732283472" right="0.70866141732283472" top="0.33" bottom="0.2" header="0.24" footer="0.19685039370078741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Tóth Róbert AuraColor</dc:creator>
  <cp:keywords/>
  <dc:description/>
  <cp:lastModifiedBy>Tóth Róbert AuraColor</cp:lastModifiedBy>
  <cp:revision/>
  <cp:lastPrinted>2023-06-25T08:25:49Z</cp:lastPrinted>
  <dcterms:created xsi:type="dcterms:W3CDTF">2013-09-06T04:46:12Z</dcterms:created>
  <dcterms:modified xsi:type="dcterms:W3CDTF">2023-12-05T20:49:49Z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